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36" yWindow="-36" windowWidth="15576" windowHeight="12504" firstSheet="4" activeTab="5"/>
  </bookViews>
  <sheets>
    <sheet name="Summary Table" sheetId="7" r:id="rId1"/>
    <sheet name="Assumptions" sheetId="3" r:id="rId2"/>
    <sheet name="Total PCB mass-Low estimate" sheetId="2" r:id="rId3"/>
    <sheet name="Total PCB mass-Medium estimate" sheetId="9" r:id="rId4"/>
    <sheet name="Total PCB mass-High estimate" sheetId="10" r:id="rId5"/>
    <sheet name="PCB detect freq" sheetId="6" r:id="rId6"/>
    <sheet name="PCB concentrations" sheetId="8" r:id="rId7"/>
  </sheets>
  <externalReferences>
    <externalReference r:id="rId8"/>
  </externalReferences>
  <definedNames>
    <definedName name="_xlnm.Print_Area" localSheetId="1">Assumptions!$A$1:$F$19</definedName>
    <definedName name="_xlnm.Print_Area" localSheetId="6">'PCB concentrations'!$A$1:$K$77</definedName>
    <definedName name="_xlnm.Print_Area" localSheetId="5">'PCB detect freq'!$A$1:$H$18</definedName>
    <definedName name="_xlnm.Print_Area" localSheetId="4">'Total PCB mass-High estimate'!$A$1:$M$86</definedName>
    <definedName name="_xlnm.Print_Area" localSheetId="2">'Total PCB mass-Low estimate'!$A$1:$N$89</definedName>
    <definedName name="_xlnm.Print_Area" localSheetId="3">'Total PCB mass-Medium estimate'!$A$1:$N$84</definedName>
  </definedNames>
  <calcPr calcId="144525"/>
  <extLst>
    <ext xmlns:mx="http://schemas.microsoft.com/office/mac/excel/2008/main" uri="http://schemas.microsoft.com/office/mac/excel/2008/main">
      <mx:ArchID Flags="2"/>
    </ext>
  </extLst>
</workbook>
</file>

<file path=xl/calcChain.xml><?xml version="1.0" encoding="utf-8"?>
<calcChain xmlns="http://schemas.openxmlformats.org/spreadsheetml/2006/main">
  <c r="B75" i="8" l="1"/>
  <c r="B76" i="8"/>
  <c r="B74" i="8"/>
  <c r="B70" i="8"/>
  <c r="B69" i="8"/>
  <c r="B68" i="8"/>
  <c r="B13" i="6"/>
  <c r="B33" i="10"/>
  <c r="B24" i="10"/>
  <c r="B48" i="10" s="1"/>
  <c r="B34" i="10"/>
  <c r="B25" i="10"/>
  <c r="B49" i="10" s="1"/>
  <c r="B35" i="10"/>
  <c r="B26" i="10"/>
  <c r="B50" i="10" s="1"/>
  <c r="B36" i="10"/>
  <c r="B27" i="10"/>
  <c r="B51" i="10" s="1"/>
  <c r="C33" i="10"/>
  <c r="C24" i="10"/>
  <c r="C48" i="10"/>
  <c r="C56" i="10" s="1"/>
  <c r="C34" i="10"/>
  <c r="C25" i="10"/>
  <c r="C49" i="10"/>
  <c r="C57" i="10" s="1"/>
  <c r="C67" i="10" s="1"/>
  <c r="C77" i="10" s="1"/>
  <c r="C35" i="10"/>
  <c r="C26" i="10"/>
  <c r="C50" i="10"/>
  <c r="C58" i="10" s="1"/>
  <c r="C68" i="10" s="1"/>
  <c r="C78" i="10" s="1"/>
  <c r="C36" i="10"/>
  <c r="C51" i="10" s="1"/>
  <c r="D33" i="10"/>
  <c r="D24" i="10"/>
  <c r="D48" i="10"/>
  <c r="D56" i="10" s="1"/>
  <c r="D34" i="10"/>
  <c r="D49" i="10" s="1"/>
  <c r="D35" i="10"/>
  <c r="D50" i="10"/>
  <c r="D58" i="10" s="1"/>
  <c r="D68" i="10" s="1"/>
  <c r="D78" i="10" s="1"/>
  <c r="D36" i="10"/>
  <c r="D51" i="10" s="1"/>
  <c r="D59" i="10" s="1"/>
  <c r="D69" i="10" s="1"/>
  <c r="D79" i="10" s="1"/>
  <c r="E33" i="10"/>
  <c r="E24" i="10"/>
  <c r="E48" i="10"/>
  <c r="E56" i="10" s="1"/>
  <c r="E34" i="10"/>
  <c r="E25" i="10"/>
  <c r="E49" i="10"/>
  <c r="E57" i="10" s="1"/>
  <c r="E67" i="10" s="1"/>
  <c r="E77" i="10" s="1"/>
  <c r="E35" i="10"/>
  <c r="E26" i="10"/>
  <c r="E50" i="10"/>
  <c r="E58" i="10" s="1"/>
  <c r="E68" i="10" s="1"/>
  <c r="E78" i="10" s="1"/>
  <c r="E36" i="10"/>
  <c r="E27" i="10"/>
  <c r="E51" i="10"/>
  <c r="E59" i="10" s="1"/>
  <c r="E69" i="10" s="1"/>
  <c r="E79" i="10" s="1"/>
  <c r="F33" i="10"/>
  <c r="F24" i="10"/>
  <c r="F48" i="10" s="1"/>
  <c r="F34" i="10"/>
  <c r="F25" i="10"/>
  <c r="F49" i="10" s="1"/>
  <c r="F57" i="10" s="1"/>
  <c r="F67" i="10" s="1"/>
  <c r="F77" i="10" s="1"/>
  <c r="F35" i="10"/>
  <c r="F26" i="10"/>
  <c r="F50" i="10" s="1"/>
  <c r="F58" i="10" s="1"/>
  <c r="F68" i="10" s="1"/>
  <c r="F78" i="10" s="1"/>
  <c r="F36" i="10"/>
  <c r="F27" i="10"/>
  <c r="F51" i="10" s="1"/>
  <c r="F59" i="10" s="1"/>
  <c r="F69" i="10" s="1"/>
  <c r="F79" i="10" s="1"/>
  <c r="G33" i="10"/>
  <c r="G37" i="10" s="1"/>
  <c r="G24" i="10"/>
  <c r="G48" i="10"/>
  <c r="G56" i="10" s="1"/>
  <c r="G34" i="10"/>
  <c r="G49" i="10" s="1"/>
  <c r="G35" i="10"/>
  <c r="G50" i="10"/>
  <c r="G58" i="10" s="1"/>
  <c r="G68" i="10" s="1"/>
  <c r="G78" i="10" s="1"/>
  <c r="G36" i="10"/>
  <c r="G51" i="10" s="1"/>
  <c r="G59" i="10" s="1"/>
  <c r="G69" i="10" s="1"/>
  <c r="G79" i="10" s="1"/>
  <c r="B37" i="10"/>
  <c r="C37" i="10"/>
  <c r="D37" i="10"/>
  <c r="E37" i="10"/>
  <c r="F37" i="10"/>
  <c r="E52" i="10"/>
  <c r="H12" i="10"/>
  <c r="H32" i="10" s="1"/>
  <c r="H47" i="10" s="1"/>
  <c r="G12" i="10"/>
  <c r="G32" i="10"/>
  <c r="G47" i="10" s="1"/>
  <c r="F12" i="10"/>
  <c r="F32" i="10" s="1"/>
  <c r="F47" i="10" s="1"/>
  <c r="E12" i="10"/>
  <c r="E32" i="10"/>
  <c r="E47" i="10" s="1"/>
  <c r="D12" i="10"/>
  <c r="D32" i="10" s="1"/>
  <c r="D47" i="10" s="1"/>
  <c r="C12" i="10"/>
  <c r="C32" i="10"/>
  <c r="C47" i="10" s="1"/>
  <c r="B12" i="10"/>
  <c r="B32" i="10" s="1"/>
  <c r="B47" i="10" s="1"/>
  <c r="A12" i="10"/>
  <c r="A32" i="10"/>
  <c r="A47" i="10" s="1"/>
  <c r="G38" i="10"/>
  <c r="F38" i="10"/>
  <c r="F39" i="10" s="1"/>
  <c r="E38" i="10"/>
  <c r="E39" i="10" s="1"/>
  <c r="D38" i="10"/>
  <c r="D39" i="10" s="1"/>
  <c r="C38" i="10"/>
  <c r="C39" i="10" s="1"/>
  <c r="B38" i="10"/>
  <c r="B39" i="10" s="1"/>
  <c r="H36" i="10"/>
  <c r="H35" i="10"/>
  <c r="H34" i="10"/>
  <c r="H33" i="10"/>
  <c r="G23" i="10"/>
  <c r="F23" i="10"/>
  <c r="E23" i="10"/>
  <c r="D23" i="10"/>
  <c r="C23" i="10"/>
  <c r="B23" i="10"/>
  <c r="A23" i="10"/>
  <c r="H19" i="10"/>
  <c r="A19" i="10"/>
  <c r="H18" i="10"/>
  <c r="A18" i="10"/>
  <c r="H17" i="10"/>
  <c r="A17" i="10"/>
  <c r="A16" i="10"/>
  <c r="A15" i="10"/>
  <c r="A14" i="10"/>
  <c r="A13" i="10"/>
  <c r="H8" i="10"/>
  <c r="A8" i="10"/>
  <c r="A7" i="10"/>
  <c r="A6" i="10"/>
  <c r="A5" i="10"/>
  <c r="A4" i="10"/>
  <c r="H3" i="10"/>
  <c r="G3" i="10"/>
  <c r="F3" i="10"/>
  <c r="E3" i="10"/>
  <c r="D3" i="10"/>
  <c r="C3" i="10"/>
  <c r="B3" i="10"/>
  <c r="A3" i="10"/>
  <c r="B24" i="2"/>
  <c r="B33" i="2"/>
  <c r="B48" i="2" s="1"/>
  <c r="B56" i="2" s="1"/>
  <c r="F36" i="2"/>
  <c r="F27" i="2"/>
  <c r="F51" i="2" s="1"/>
  <c r="F59" i="2" s="1"/>
  <c r="F69" i="2" s="1"/>
  <c r="F79" i="2" s="1"/>
  <c r="B34" i="2"/>
  <c r="B25" i="2"/>
  <c r="B49" i="2" s="1"/>
  <c r="B57" i="2" s="1"/>
  <c r="B67" i="2" s="1"/>
  <c r="B77" i="2" s="1"/>
  <c r="C34" i="2"/>
  <c r="C25" i="2"/>
  <c r="C49" i="2" s="1"/>
  <c r="C57" i="2" s="1"/>
  <c r="C67" i="2" s="1"/>
  <c r="C77" i="2" s="1"/>
  <c r="D34" i="2"/>
  <c r="D49" i="2"/>
  <c r="D57" i="2" s="1"/>
  <c r="D67" i="2" s="1"/>
  <c r="E34" i="2"/>
  <c r="E25" i="2"/>
  <c r="E49" i="2"/>
  <c r="E57" i="2" s="1"/>
  <c r="E67" i="2" s="1"/>
  <c r="E77" i="2" s="1"/>
  <c r="F34" i="2"/>
  <c r="F25" i="2"/>
  <c r="F49" i="2"/>
  <c r="F57" i="2" s="1"/>
  <c r="F67" i="2" s="1"/>
  <c r="F77" i="2" s="1"/>
  <c r="G34" i="2"/>
  <c r="G49" i="2"/>
  <c r="G57" i="2" s="1"/>
  <c r="B35" i="2"/>
  <c r="B26" i="2"/>
  <c r="B50" i="2"/>
  <c r="B58" i="2" s="1"/>
  <c r="C35" i="2"/>
  <c r="C26" i="2"/>
  <c r="C50" i="2"/>
  <c r="C58" i="2" s="1"/>
  <c r="C68" i="2" s="1"/>
  <c r="C78" i="2" s="1"/>
  <c r="D35" i="2"/>
  <c r="D50" i="2" s="1"/>
  <c r="E35" i="2"/>
  <c r="E26" i="2"/>
  <c r="E50" i="2" s="1"/>
  <c r="E58" i="2" s="1"/>
  <c r="E68" i="2" s="1"/>
  <c r="E78" i="2" s="1"/>
  <c r="F35" i="2"/>
  <c r="F26" i="2"/>
  <c r="F50" i="2" s="1"/>
  <c r="F58" i="2" s="1"/>
  <c r="F68" i="2" s="1"/>
  <c r="F78" i="2" s="1"/>
  <c r="G35" i="2"/>
  <c r="G50" i="2"/>
  <c r="G58" i="2" s="1"/>
  <c r="G68" i="2" s="1"/>
  <c r="G78" i="2" s="1"/>
  <c r="B36" i="2"/>
  <c r="B27" i="2"/>
  <c r="B51" i="2"/>
  <c r="B59" i="2" s="1"/>
  <c r="C36" i="2"/>
  <c r="C51" i="2" s="1"/>
  <c r="D36" i="2"/>
  <c r="D51" i="2"/>
  <c r="D59" i="2" s="1"/>
  <c r="D69" i="2" s="1"/>
  <c r="D79" i="2" s="1"/>
  <c r="E36" i="2"/>
  <c r="E27" i="2"/>
  <c r="E51" i="2"/>
  <c r="E59" i="2" s="1"/>
  <c r="E69" i="2" s="1"/>
  <c r="E79" i="2" s="1"/>
  <c r="G36" i="2"/>
  <c r="G51" i="2" s="1"/>
  <c r="G59" i="2" s="1"/>
  <c r="G69" i="2" s="1"/>
  <c r="G79" i="2" s="1"/>
  <c r="C33" i="2"/>
  <c r="C24" i="2"/>
  <c r="C48" i="2" s="1"/>
  <c r="D33" i="2"/>
  <c r="D24" i="2"/>
  <c r="D48" i="2" s="1"/>
  <c r="E33" i="2"/>
  <c r="E24" i="2"/>
  <c r="E48" i="2" s="1"/>
  <c r="F33" i="2"/>
  <c r="F24" i="2"/>
  <c r="F48" i="2" s="1"/>
  <c r="G33" i="2"/>
  <c r="G24" i="2"/>
  <c r="G48" i="2" s="1"/>
  <c r="B66" i="2"/>
  <c r="B76" i="2"/>
  <c r="H17" i="2"/>
  <c r="A19" i="2"/>
  <c r="A18" i="2"/>
  <c r="A17" i="2"/>
  <c r="A16" i="2"/>
  <c r="A15" i="2"/>
  <c r="A14" i="2"/>
  <c r="A13" i="2"/>
  <c r="A8" i="2"/>
  <c r="A7" i="2"/>
  <c r="A6" i="2"/>
  <c r="A5" i="2"/>
  <c r="A4" i="2"/>
  <c r="H12" i="2"/>
  <c r="H32" i="2" s="1"/>
  <c r="H47" i="2" s="1"/>
  <c r="G12" i="2"/>
  <c r="F12" i="2"/>
  <c r="F32" i="2" s="1"/>
  <c r="F47" i="2" s="1"/>
  <c r="E12" i="2"/>
  <c r="D12" i="2"/>
  <c r="D32" i="2" s="1"/>
  <c r="D47" i="2" s="1"/>
  <c r="C12" i="2"/>
  <c r="B12" i="2"/>
  <c r="B32" i="2" s="1"/>
  <c r="B47" i="2" s="1"/>
  <c r="A12" i="2"/>
  <c r="H3" i="2"/>
  <c r="G3" i="2"/>
  <c r="F3" i="2"/>
  <c r="E3" i="2"/>
  <c r="D3" i="2"/>
  <c r="C3" i="2"/>
  <c r="B3" i="2"/>
  <c r="A3" i="2"/>
  <c r="H8" i="2"/>
  <c r="H18" i="2"/>
  <c r="G23" i="2"/>
  <c r="A23" i="2"/>
  <c r="B38" i="2"/>
  <c r="B39" i="2" s="1"/>
  <c r="G32" i="2"/>
  <c r="G47" i="2"/>
  <c r="A32" i="2"/>
  <c r="A47" i="2"/>
  <c r="C38" i="2"/>
  <c r="D38" i="2"/>
  <c r="E38" i="2"/>
  <c r="F38" i="2"/>
  <c r="G38" i="2"/>
  <c r="F23" i="2"/>
  <c r="E23" i="2"/>
  <c r="D23" i="2"/>
  <c r="C23" i="2"/>
  <c r="B23" i="2"/>
  <c r="E32" i="2"/>
  <c r="E47" i="2"/>
  <c r="C32" i="2"/>
  <c r="C47" i="2"/>
  <c r="H49" i="2"/>
  <c r="B37" i="2"/>
  <c r="C37" i="2"/>
  <c r="H37" i="2" s="1"/>
  <c r="D37" i="2"/>
  <c r="E37" i="2"/>
  <c r="E39" i="2" s="1"/>
  <c r="F37" i="2"/>
  <c r="G37" i="2"/>
  <c r="G39" i="2" s="1"/>
  <c r="H19" i="2"/>
  <c r="H35" i="2"/>
  <c r="B52" i="2"/>
  <c r="D39" i="2"/>
  <c r="F39" i="2"/>
  <c r="H36" i="2"/>
  <c r="H34" i="2"/>
  <c r="H33" i="2"/>
  <c r="G36" i="9"/>
  <c r="B33" i="9"/>
  <c r="B24" i="9"/>
  <c r="B48" i="9"/>
  <c r="B56" i="9" s="1"/>
  <c r="B34" i="9"/>
  <c r="B25" i="9"/>
  <c r="B49" i="9"/>
  <c r="B57" i="9" s="1"/>
  <c r="B67" i="9" s="1"/>
  <c r="B35" i="9"/>
  <c r="B26" i="9"/>
  <c r="B50" i="9"/>
  <c r="B58" i="9" s="1"/>
  <c r="B36" i="9"/>
  <c r="B27" i="9"/>
  <c r="B51" i="9"/>
  <c r="B59" i="9" s="1"/>
  <c r="B69" i="9" s="1"/>
  <c r="C33" i="9"/>
  <c r="C24" i="9"/>
  <c r="C48" i="9" s="1"/>
  <c r="C34" i="9"/>
  <c r="C25" i="9"/>
  <c r="C49" i="9" s="1"/>
  <c r="C35" i="9"/>
  <c r="C26" i="9"/>
  <c r="C50" i="9" s="1"/>
  <c r="C58" i="9" s="1"/>
  <c r="C68" i="9" s="1"/>
  <c r="C78" i="9" s="1"/>
  <c r="C36" i="9"/>
  <c r="C51" i="9"/>
  <c r="C59" i="9" s="1"/>
  <c r="C69" i="9" s="1"/>
  <c r="C79" i="9" s="1"/>
  <c r="D33" i="9"/>
  <c r="D24" i="9"/>
  <c r="D48" i="9" s="1"/>
  <c r="D56" i="9" s="1"/>
  <c r="D34" i="9"/>
  <c r="D49" i="9"/>
  <c r="D57" i="9" s="1"/>
  <c r="D67" i="9" s="1"/>
  <c r="D77" i="9" s="1"/>
  <c r="D35" i="9"/>
  <c r="D50" i="9" s="1"/>
  <c r="D58" i="9" s="1"/>
  <c r="D68" i="9" s="1"/>
  <c r="D78" i="9" s="1"/>
  <c r="D36" i="9"/>
  <c r="D51" i="9"/>
  <c r="D59" i="9" s="1"/>
  <c r="D69" i="9" s="1"/>
  <c r="D79" i="9" s="1"/>
  <c r="E33" i="9"/>
  <c r="E24" i="9"/>
  <c r="E48" i="9" s="1"/>
  <c r="E34" i="9"/>
  <c r="E25" i="9"/>
  <c r="E49" i="9" s="1"/>
  <c r="E57" i="9" s="1"/>
  <c r="E67" i="9" s="1"/>
  <c r="E77" i="9" s="1"/>
  <c r="E35" i="9"/>
  <c r="E26" i="9"/>
  <c r="E50" i="9" s="1"/>
  <c r="E58" i="9" s="1"/>
  <c r="E68" i="9" s="1"/>
  <c r="E78" i="9" s="1"/>
  <c r="E36" i="9"/>
  <c r="E27" i="9"/>
  <c r="E51" i="9" s="1"/>
  <c r="F33" i="9"/>
  <c r="F24" i="9"/>
  <c r="F48" i="9"/>
  <c r="F56" i="9" s="1"/>
  <c r="F34" i="9"/>
  <c r="F25" i="9"/>
  <c r="F49" i="9"/>
  <c r="F57" i="9" s="1"/>
  <c r="F67" i="9"/>
  <c r="F77" i="9" s="1"/>
  <c r="F35" i="9"/>
  <c r="F26" i="9"/>
  <c r="F50" i="9"/>
  <c r="F58" i="9" s="1"/>
  <c r="F68" i="9"/>
  <c r="F78" i="9" s="1"/>
  <c r="F36" i="9"/>
  <c r="F27" i="9"/>
  <c r="F51" i="9"/>
  <c r="F59" i="9" s="1"/>
  <c r="F69" i="9"/>
  <c r="F79" i="9" s="1"/>
  <c r="G33" i="9"/>
  <c r="G24" i="9"/>
  <c r="G48" i="9" s="1"/>
  <c r="G56" i="9"/>
  <c r="G66" i="9" s="1"/>
  <c r="G76" i="9" s="1"/>
  <c r="G34" i="9"/>
  <c r="G49" i="9"/>
  <c r="G57" i="9" s="1"/>
  <c r="G67" i="9"/>
  <c r="G77" i="9" s="1"/>
  <c r="G35" i="9"/>
  <c r="G51" i="9"/>
  <c r="G59" i="9"/>
  <c r="G69" i="9" s="1"/>
  <c r="G79" i="9"/>
  <c r="B37" i="9"/>
  <c r="C37" i="9"/>
  <c r="D37" i="9"/>
  <c r="E37" i="9"/>
  <c r="F37" i="9"/>
  <c r="B52" i="9"/>
  <c r="D52" i="9"/>
  <c r="F52" i="9"/>
  <c r="H48" i="9"/>
  <c r="H12" i="9"/>
  <c r="H32" i="9"/>
  <c r="H47" i="9" s="1"/>
  <c r="G12" i="9"/>
  <c r="G32" i="9" s="1"/>
  <c r="G47" i="9"/>
  <c r="F12" i="9"/>
  <c r="F32" i="9"/>
  <c r="F47" i="9" s="1"/>
  <c r="E12" i="9"/>
  <c r="E32" i="9" s="1"/>
  <c r="E47" i="9"/>
  <c r="D12" i="9"/>
  <c r="D32" i="9"/>
  <c r="D47" i="9" s="1"/>
  <c r="C12" i="9"/>
  <c r="C32" i="9" s="1"/>
  <c r="C47" i="9"/>
  <c r="B12" i="9"/>
  <c r="B32" i="9"/>
  <c r="B47" i="9" s="1"/>
  <c r="A12" i="9"/>
  <c r="A32" i="9" s="1"/>
  <c r="A47" i="9" s="1"/>
  <c r="G38" i="9"/>
  <c r="F38" i="9"/>
  <c r="F39" i="9"/>
  <c r="E38" i="9"/>
  <c r="E39" i="9"/>
  <c r="D38" i="9"/>
  <c r="D39" i="9"/>
  <c r="C38" i="9"/>
  <c r="C39" i="9"/>
  <c r="B38" i="9"/>
  <c r="B39" i="9"/>
  <c r="H36" i="9"/>
  <c r="H35" i="9"/>
  <c r="H34" i="9"/>
  <c r="H33" i="9"/>
  <c r="G23" i="9"/>
  <c r="F23" i="9"/>
  <c r="E23" i="9"/>
  <c r="D23" i="9"/>
  <c r="C23" i="9"/>
  <c r="B23" i="9"/>
  <c r="H19" i="9"/>
  <c r="A19" i="9"/>
  <c r="H18" i="9"/>
  <c r="A18" i="9"/>
  <c r="H17" i="9"/>
  <c r="A17" i="9"/>
  <c r="A16" i="9"/>
  <c r="A15" i="9"/>
  <c r="A14" i="9"/>
  <c r="A13" i="9"/>
  <c r="H8" i="9"/>
  <c r="A8" i="9"/>
  <c r="A7" i="9"/>
  <c r="A6" i="9"/>
  <c r="A5" i="9"/>
  <c r="A4" i="9"/>
  <c r="H3" i="9"/>
  <c r="G3" i="9"/>
  <c r="F3" i="9"/>
  <c r="E3" i="9"/>
  <c r="D3" i="9"/>
  <c r="C3" i="9"/>
  <c r="B3" i="9"/>
  <c r="A3" i="9"/>
  <c r="H37" i="9" l="1"/>
  <c r="A23" i="9"/>
  <c r="G50" i="9"/>
  <c r="G37" i="9"/>
  <c r="G39" i="9" s="1"/>
  <c r="G52" i="9"/>
  <c r="H51" i="9"/>
  <c r="E59" i="9"/>
  <c r="E69" i="9" s="1"/>
  <c r="E79" i="9" s="1"/>
  <c r="E52" i="9"/>
  <c r="E56" i="9"/>
  <c r="B68" i="9"/>
  <c r="B60" i="9"/>
  <c r="B66" i="9"/>
  <c r="B69" i="2"/>
  <c r="H57" i="2"/>
  <c r="G67" i="2"/>
  <c r="G77" i="2" s="1"/>
  <c r="D77" i="2"/>
  <c r="H77" i="2" s="1"/>
  <c r="H67" i="2"/>
  <c r="F60" i="9"/>
  <c r="F66" i="9"/>
  <c r="D66" i="9"/>
  <c r="D60" i="9"/>
  <c r="H49" i="9"/>
  <c r="C57" i="9"/>
  <c r="C52" i="9"/>
  <c r="C56" i="9"/>
  <c r="B79" i="9"/>
  <c r="H69" i="9"/>
  <c r="B77" i="9"/>
  <c r="G56" i="2"/>
  <c r="G52" i="2"/>
  <c r="F52" i="2"/>
  <c r="F56" i="2"/>
  <c r="E56" i="2"/>
  <c r="E52" i="2"/>
  <c r="D52" i="2"/>
  <c r="D56" i="2"/>
  <c r="H48" i="2"/>
  <c r="C56" i="2"/>
  <c r="C52" i="2"/>
  <c r="H52" i="2" s="1"/>
  <c r="C59" i="2"/>
  <c r="C69" i="2" s="1"/>
  <c r="C79" i="2" s="1"/>
  <c r="H51" i="2"/>
  <c r="D58" i="2"/>
  <c r="D68" i="2" s="1"/>
  <c r="D78" i="2" s="1"/>
  <c r="H50" i="2"/>
  <c r="H58" i="2"/>
  <c r="B68" i="2"/>
  <c r="B60" i="2"/>
  <c r="G57" i="10"/>
  <c r="G67" i="10" s="1"/>
  <c r="G77" i="10" s="1"/>
  <c r="G52" i="10"/>
  <c r="F56" i="10"/>
  <c r="F52" i="10"/>
  <c r="D66" i="10"/>
  <c r="C66" i="10"/>
  <c r="C39" i="2"/>
  <c r="G66" i="10"/>
  <c r="G60" i="10"/>
  <c r="H37" i="10"/>
  <c r="G39" i="10"/>
  <c r="E66" i="10"/>
  <c r="E60" i="10"/>
  <c r="D57" i="10"/>
  <c r="D67" i="10" s="1"/>
  <c r="D77" i="10" s="1"/>
  <c r="D52" i="10"/>
  <c r="C59" i="10"/>
  <c r="C69" i="10" s="1"/>
  <c r="C79" i="10" s="1"/>
  <c r="C52" i="10"/>
  <c r="B59" i="10"/>
  <c r="H51" i="10"/>
  <c r="B58" i="10"/>
  <c r="H50" i="10"/>
  <c r="B57" i="10"/>
  <c r="H49" i="10"/>
  <c r="B56" i="10"/>
  <c r="B52" i="10"/>
  <c r="H48" i="10"/>
  <c r="H57" i="10" l="1"/>
  <c r="B67" i="10"/>
  <c r="H59" i="10"/>
  <c r="B69" i="10"/>
  <c r="C60" i="10"/>
  <c r="D60" i="10"/>
  <c r="H52" i="10"/>
  <c r="C76" i="10"/>
  <c r="C80" i="10" s="1"/>
  <c r="C70" i="10"/>
  <c r="D70" i="10"/>
  <c r="D76" i="10"/>
  <c r="D80" i="10" s="1"/>
  <c r="F66" i="10"/>
  <c r="F60" i="10"/>
  <c r="B78" i="2"/>
  <c r="B70" i="2"/>
  <c r="H68" i="2"/>
  <c r="E66" i="2"/>
  <c r="E60" i="2"/>
  <c r="G66" i="2"/>
  <c r="G60" i="2"/>
  <c r="H79" i="9"/>
  <c r="H52" i="9"/>
  <c r="D76" i="9"/>
  <c r="D80" i="9" s="1"/>
  <c r="D70" i="9"/>
  <c r="H59" i="2"/>
  <c r="B76" i="9"/>
  <c r="B70" i="9"/>
  <c r="H59" i="9"/>
  <c r="B66" i="10"/>
  <c r="B60" i="10"/>
  <c r="H60" i="10" s="1"/>
  <c r="H56" i="10"/>
  <c r="B68" i="10"/>
  <c r="H58" i="10"/>
  <c r="E76" i="10"/>
  <c r="E80" i="10" s="1"/>
  <c r="E70" i="10"/>
  <c r="G76" i="10"/>
  <c r="G80" i="10" s="1"/>
  <c r="G70" i="10"/>
  <c r="C66" i="2"/>
  <c r="C60" i="2"/>
  <c r="H60" i="2" s="1"/>
  <c r="H56" i="2"/>
  <c r="D66" i="2"/>
  <c r="D60" i="2"/>
  <c r="F66" i="2"/>
  <c r="F60" i="2"/>
  <c r="C66" i="9"/>
  <c r="C60" i="9"/>
  <c r="C67" i="9"/>
  <c r="H57" i="9"/>
  <c r="F76" i="9"/>
  <c r="F80" i="9" s="1"/>
  <c r="F70" i="9"/>
  <c r="B79" i="2"/>
  <c r="H79" i="2" s="1"/>
  <c r="H69" i="2"/>
  <c r="H56" i="9"/>
  <c r="B78" i="9"/>
  <c r="E66" i="9"/>
  <c r="E60" i="9"/>
  <c r="G58" i="9"/>
  <c r="H50" i="9"/>
  <c r="C70" i="9" l="1"/>
  <c r="C76" i="9"/>
  <c r="D70" i="2"/>
  <c r="D76" i="2"/>
  <c r="D80" i="2" s="1"/>
  <c r="G68" i="9"/>
  <c r="G60" i="9"/>
  <c r="H60" i="9" s="1"/>
  <c r="H58" i="9"/>
  <c r="E70" i="9"/>
  <c r="E76" i="9"/>
  <c r="E80" i="9" s="1"/>
  <c r="C76" i="2"/>
  <c r="C70" i="2"/>
  <c r="H66" i="2"/>
  <c r="B76" i="10"/>
  <c r="B70" i="10"/>
  <c r="H66" i="10"/>
  <c r="H78" i="2"/>
  <c r="B80" i="2"/>
  <c r="F76" i="10"/>
  <c r="F80" i="10" s="1"/>
  <c r="F70" i="10"/>
  <c r="B79" i="10"/>
  <c r="H79" i="10" s="1"/>
  <c r="H69" i="10"/>
  <c r="B77" i="10"/>
  <c r="H77" i="10" s="1"/>
  <c r="H67" i="10"/>
  <c r="C77" i="9"/>
  <c r="H77" i="9" s="1"/>
  <c r="H67" i="9"/>
  <c r="F76" i="2"/>
  <c r="F80" i="2" s="1"/>
  <c r="F70" i="2"/>
  <c r="B78" i="10"/>
  <c r="H78" i="10" s="1"/>
  <c r="H68" i="10"/>
  <c r="H66" i="9"/>
  <c r="H76" i="9"/>
  <c r="B80" i="9"/>
  <c r="G76" i="2"/>
  <c r="G80" i="2" s="1"/>
  <c r="G70" i="2"/>
  <c r="H70" i="2" s="1"/>
  <c r="E70" i="2"/>
  <c r="E76" i="2"/>
  <c r="E80" i="2" s="1"/>
  <c r="H70" i="9" l="1"/>
  <c r="H70" i="10"/>
  <c r="C80" i="2"/>
  <c r="H80" i="2" s="1"/>
  <c r="E82" i="2" s="1"/>
  <c r="E83" i="2" s="1"/>
  <c r="H76" i="2"/>
  <c r="G78" i="9"/>
  <c r="G70" i="9"/>
  <c r="H68" i="9"/>
  <c r="B80" i="10"/>
  <c r="H80" i="10" s="1"/>
  <c r="E82" i="10" s="1"/>
  <c r="E83" i="10" s="1"/>
  <c r="H76" i="10"/>
  <c r="C80" i="9"/>
  <c r="H80" i="9" l="1"/>
  <c r="E82" i="9" s="1"/>
  <c r="E83" i="9" s="1"/>
  <c r="G80" i="9"/>
  <c r="H78" i="9"/>
</calcChain>
</file>

<file path=xl/sharedStrings.xml><?xml version="1.0" encoding="utf-8"?>
<sst xmlns="http://schemas.openxmlformats.org/spreadsheetml/2006/main" count="409" uniqueCount="142">
  <si>
    <t>Sealant samples used in the estimate consider only those containing PCB  &gt; 50 ppm that were collected from commerical/industrial buildings constructed between 1950 and 1980, with the exception of the SF Bay Area samples, which were mostly from non-residential buildings (blind sampling prevented identification of building type).</t>
    <phoneticPr fontId="1" type="noConversion"/>
  </si>
  <si>
    <t>Surveys of PCBs in sealants</t>
    <phoneticPr fontId="1" type="noConversion"/>
  </si>
  <si>
    <t>Study Location</t>
    <phoneticPr fontId="1" type="noConversion"/>
  </si>
  <si>
    <t>Kohler et al. 2005</t>
    <phoneticPr fontId="1" type="noConversion"/>
  </si>
  <si>
    <t>Surveys of PCBs in sealants</t>
    <phoneticPr fontId="1" type="noConversion"/>
  </si>
  <si>
    <t>ind</t>
  </si>
  <si>
    <t>High estimate</t>
    <phoneticPr fontId="1" type="noConversion"/>
  </si>
  <si>
    <t>%</t>
    <phoneticPr fontId="1" type="noConversion"/>
  </si>
  <si>
    <t>Non-residential buildings only; 9 out of 41 buildings built b/w 1950-1980 contained PCBs (M. Robson, personal communication)</t>
    <phoneticPr fontId="1" type="noConversion"/>
  </si>
  <si>
    <t>See Section 3 of report</t>
    <phoneticPr fontId="1" type="noConversion"/>
  </si>
  <si>
    <t xml:space="preserve">avg # building stories*10.3 ft </t>
    <phoneticPr fontId="1" type="noConversion"/>
  </si>
  <si>
    <t>Estimate from a contractor in Toronto (Miriam Diamond, personal communication to SK)</t>
    <phoneticPr fontId="1" type="noConversion"/>
  </si>
  <si>
    <r>
      <t>Mass caulk per volume building (g/m</t>
    </r>
    <r>
      <rPr>
        <vertAlign val="superscript"/>
        <sz val="11"/>
        <color indexed="8"/>
        <rFont val="Calibri"/>
        <family val="2"/>
      </rPr>
      <t>3</t>
    </r>
    <r>
      <rPr>
        <sz val="11"/>
        <color theme="1"/>
        <rFont val="Calibri"/>
        <family val="2"/>
        <scheme val="minor"/>
      </rPr>
      <t>)</t>
    </r>
    <phoneticPr fontId="1" type="noConversion"/>
  </si>
  <si>
    <t>PCB concentration of caulking (ppm)</t>
    <phoneticPr fontId="1" type="noConversion"/>
  </si>
  <si>
    <t>Avg building height (ft)</t>
    <phoneticPr fontId="1" type="noConversion"/>
  </si>
  <si>
    <t>Avg # of stories in Bay Area buildings</t>
    <phoneticPr fontId="1" type="noConversion"/>
  </si>
  <si>
    <t>This study</t>
    <phoneticPr fontId="1" type="noConversion"/>
  </si>
  <si>
    <t>Robson et al. 2010</t>
    <phoneticPr fontId="1" type="noConversion"/>
  </si>
  <si>
    <t>Note</t>
    <phoneticPr fontId="1" type="noConversion"/>
  </si>
  <si>
    <t>concrete, masonry, wood</t>
    <phoneticPr fontId="1" type="noConversion"/>
  </si>
  <si>
    <t>Switzerland</t>
    <phoneticPr fontId="1" type="noConversion"/>
  </si>
  <si>
    <t>estimated from figures</t>
    <phoneticPr fontId="1" type="noConversion"/>
  </si>
  <si>
    <t>Herrick et al. 2004</t>
    <phoneticPr fontId="1" type="noConversion"/>
  </si>
  <si>
    <t>kg PCB/building</t>
    <phoneticPr fontId="1" type="noConversion"/>
  </si>
  <si>
    <t>Building types</t>
    <phoneticPr fontId="1" type="noConversion"/>
  </si>
  <si>
    <t>Construction types</t>
    <phoneticPr fontId="1" type="noConversion"/>
  </si>
  <si>
    <t>Reference</t>
    <phoneticPr fontId="1" type="noConversion"/>
  </si>
  <si>
    <t>Concentration (ppm)</t>
    <phoneticPr fontId="1" type="noConversion"/>
  </si>
  <si>
    <t>AREA SQ MI</t>
  </si>
  <si>
    <t>Percentiles from distribution using above data (empirical CDF)</t>
    <phoneticPr fontId="1" type="noConversion"/>
  </si>
  <si>
    <t>Minimum of all studies</t>
    <phoneticPr fontId="1" type="noConversion"/>
  </si>
  <si>
    <t>Maximum of all studies</t>
    <phoneticPr fontId="1" type="noConversion"/>
  </si>
  <si>
    <t>Median of all studies</t>
    <phoneticPr fontId="1" type="noConversion"/>
  </si>
  <si>
    <t>Boston Area</t>
    <phoneticPr fontId="1" type="noConversion"/>
  </si>
  <si>
    <t>% Detection in study       (all years)</t>
    <phoneticPr fontId="1" type="noConversion"/>
  </si>
  <si>
    <t>Institutional</t>
    <phoneticPr fontId="1" type="noConversion"/>
  </si>
  <si>
    <t>concrete, brick, other</t>
    <phoneticPr fontId="1" type="noConversion"/>
  </si>
  <si>
    <t>Samples per building</t>
    <phoneticPr fontId="1" type="noConversion"/>
  </si>
  <si>
    <t>&gt;1</t>
    <phoneticPr fontId="1" type="noConversion"/>
  </si>
  <si>
    <t>Buildings with caulk containing PCB &gt; 50 ppm (%)</t>
    <phoneticPr fontId="1" type="noConversion"/>
  </si>
  <si>
    <t>inf</t>
  </si>
  <si>
    <t>mix</t>
  </si>
  <si>
    <t>CONTRA</t>
  </si>
  <si>
    <t>VALLEJO</t>
  </si>
  <si>
    <t>SANTACLARA</t>
  </si>
  <si>
    <t>SANMATEO</t>
  </si>
  <si>
    <t>FAIRFIELD</t>
  </si>
  <si>
    <t>explicit in text</t>
    <phoneticPr fontId="1" type="noConversion"/>
  </si>
  <si>
    <t>Total PCB mass in caulk in Bay Area buildings (kg)</t>
  </si>
  <si>
    <t>Detection frequencies used in the estimate consider only sealant samples containing PCB  &gt; 50 ppm that were collected from commerical/industrial buildings constructed between 1950 and 1980</t>
    <phoneticPr fontId="1" type="noConversion"/>
  </si>
  <si>
    <t>This study</t>
    <phoneticPr fontId="1" type="noConversion"/>
  </si>
  <si>
    <t>LULC</t>
  </si>
  <si>
    <t>ALAMEDA</t>
  </si>
  <si>
    <t>com</t>
  </si>
  <si>
    <t>Serdar et al. 2011</t>
    <phoneticPr fontId="1" type="noConversion"/>
  </si>
  <si>
    <t>Value not standardized; value for county in Washington State</t>
    <phoneticPr fontId="1" type="noConversion"/>
  </si>
  <si>
    <t xml:space="preserve">Extrapolated total building area in the area of interest (acres) </t>
    <phoneticPr fontId="1" type="noConversion"/>
  </si>
  <si>
    <t>Serdar et al. 2011</t>
    <phoneticPr fontId="1" type="noConversion"/>
  </si>
  <si>
    <t xml:space="preserve">A linear interpolation of the rounded values was used to determine the 25th, 50th, and 75th percentiles: </t>
    <phoneticPr fontId="1" type="noConversion"/>
  </si>
  <si>
    <t>Source</t>
    <phoneticPr fontId="1" type="noConversion"/>
  </si>
  <si>
    <t>Factor</t>
    <phoneticPr fontId="1" type="noConversion"/>
  </si>
  <si>
    <t>average # of stories in study area buildings</t>
    <phoneticPr fontId="1" type="noConversion"/>
  </si>
  <si>
    <t>This study (see report Section 3.2.1)</t>
    <phoneticPr fontId="1" type="noConversion"/>
  </si>
  <si>
    <t>feet per building story</t>
    <phoneticPr fontId="1" type="noConversion"/>
  </si>
  <si>
    <t>ppm PCB in caulk</t>
    <phoneticPr fontId="1" type="noConversion"/>
  </si>
  <si>
    <t>25th percentile of the distribution of concentrations &gt; 50 ppm in previous surveys (buildings built between 1950-1980 only); see 'PCB concentrations' tab</t>
    <phoneticPr fontId="1" type="noConversion"/>
  </si>
  <si>
    <t>Median % detected in previous surveys (see 'PCB detect freq' tab)</t>
    <phoneticPr fontId="1" type="noConversion"/>
  </si>
  <si>
    <t>g caulk per cubic meter of building</t>
    <phoneticPr fontId="1" type="noConversion"/>
  </si>
  <si>
    <t>50th percentile of the distribution of concentrations &gt; 50 ppm in previous surveys (buildings built between 1950-1980 only); see 'PCB concentrations' tab</t>
    <phoneticPr fontId="1" type="noConversion"/>
  </si>
  <si>
    <t>Maximum % detected in previous surveys (see 'PCB detect freq' tab)</t>
    <phoneticPr fontId="1" type="noConversion"/>
  </si>
  <si>
    <t>Height of one building story (ft)</t>
    <phoneticPr fontId="1" type="noConversion"/>
  </si>
  <si>
    <t>Toronto</t>
    <phoneticPr fontId="1" type="noConversion"/>
  </si>
  <si>
    <t>This study</t>
    <phoneticPr fontId="1" type="noConversion"/>
  </si>
  <si>
    <t>Institutional, commercial, industrial, infrastructure</t>
    <phoneticPr fontId="1" type="noConversion"/>
  </si>
  <si>
    <t>Unknown</t>
    <phoneticPr fontId="1" type="noConversion"/>
  </si>
  <si>
    <t>concrete</t>
    <phoneticPr fontId="1" type="noConversion"/>
  </si>
  <si>
    <t>TOTAL BUILDINGS</t>
  </si>
  <si>
    <t>BUILDING/SQ MI</t>
  </si>
  <si>
    <t>Percentile</t>
    <phoneticPr fontId="1" type="noConversion"/>
  </si>
  <si>
    <t>Estimate</t>
    <phoneticPr fontId="1" type="noConversion"/>
  </si>
  <si>
    <t>Value</t>
    <phoneticPr fontId="1" type="noConversion"/>
  </si>
  <si>
    <t>Note</t>
    <phoneticPr fontId="1" type="noConversion"/>
  </si>
  <si>
    <t>Low</t>
    <phoneticPr fontId="1" type="noConversion"/>
  </si>
  <si>
    <t>Medium</t>
    <phoneticPr fontId="1" type="noConversion"/>
  </si>
  <si>
    <t xml:space="preserve">Extrapolated number of buildings in area of interest  </t>
    <phoneticPr fontId="1" type="noConversion"/>
  </si>
  <si>
    <t>Values used in this report:</t>
    <phoneticPr fontId="1" type="noConversion"/>
  </si>
  <si>
    <t>Concentration  (ppm)</t>
    <phoneticPr fontId="1" type="noConversion"/>
  </si>
  <si>
    <t>Low estimate</t>
    <phoneticPr fontId="1" type="noConversion"/>
  </si>
  <si>
    <t>Medium estimate</t>
    <phoneticPr fontId="1" type="noConversion"/>
  </si>
  <si>
    <t>Summary Table</t>
    <phoneticPr fontId="1" type="noConversion"/>
  </si>
  <si>
    <t>% Detection in study (1950-1980)</t>
    <phoneticPr fontId="1" type="noConversion"/>
  </si>
  <si>
    <t>Notes</t>
    <phoneticPr fontId="1" type="noConversion"/>
  </si>
  <si>
    <t>San Francisco Bay Area</t>
    <phoneticPr fontId="1" type="noConversion"/>
  </si>
  <si>
    <t>Study</t>
    <phoneticPr fontId="1" type="noConversion"/>
  </si>
  <si>
    <t>Toronto</t>
    <phoneticPr fontId="1" type="noConversion"/>
  </si>
  <si>
    <t>Boston</t>
    <phoneticPr fontId="1" type="noConversion"/>
  </si>
  <si>
    <t>SF Bay Area</t>
    <phoneticPr fontId="1" type="noConversion"/>
  </si>
  <si>
    <t>This study (see report Section 3.2.1)</t>
    <phoneticPr fontId="1" type="noConversion"/>
  </si>
  <si>
    <t>g caulk per cubic meter of building</t>
    <phoneticPr fontId="1" type="noConversion"/>
  </si>
  <si>
    <t>Mass caulk in buildings with PCB in caulking (g)</t>
    <phoneticPr fontId="1" type="noConversion"/>
  </si>
  <si>
    <t>Volume of buildings with PCB in caulking (cubic ft)</t>
    <phoneticPr fontId="1" type="noConversion"/>
  </si>
  <si>
    <t>Volume of buildings with PCB in caulking (cubic meters)</t>
    <phoneticPr fontId="1" type="noConversion"/>
  </si>
  <si>
    <t>average # of stories in study area buildings</t>
    <phoneticPr fontId="1" type="noConversion"/>
  </si>
  <si>
    <t>feet per building story</t>
    <phoneticPr fontId="1" type="noConversion"/>
  </si>
  <si>
    <t>ppm PCB in caulk</t>
    <phoneticPr fontId="1" type="noConversion"/>
  </si>
  <si>
    <t>Mass PCB in buildings with PCB in caulking (g)</t>
    <phoneticPr fontId="1" type="noConversion"/>
  </si>
  <si>
    <t>75th percentile of the distribution of concentrations &gt; 50 ppm in previous surveys (buildings built between 1950-1980 only); see 'PCB concentrations' tab</t>
    <phoneticPr fontId="1" type="noConversion"/>
  </si>
  <si>
    <t>25, 50, and 75th percentiles of the distribution of concentrations &gt; 50 ppm in these studies (buildings built between 1950-1980 only). Did not consider the individual data points from the Switzerland study (Kohler et al 2005) because they were not provided in the paper. However, the sample distributions for the Swiss study were comparable to the others.</t>
    <phoneticPr fontId="1" type="noConversion"/>
  </si>
  <si>
    <t>Source:</t>
    <phoneticPr fontId="1" type="noConversion"/>
  </si>
  <si>
    <t>Robson et al. 2010 (information received from a contractor in Toronto)</t>
    <phoneticPr fontId="1" type="noConversion"/>
  </si>
  <si>
    <t>Assumption:</t>
    <phoneticPr fontId="1" type="noConversion"/>
  </si>
  <si>
    <t xml:space="preserve">% of buildings with PCB caulking &gt; 50 ppm </t>
    <phoneticPr fontId="1" type="noConversion"/>
  </si>
  <si>
    <t xml:space="preserve">Institutional </t>
    <phoneticPr fontId="1" type="noConversion"/>
  </si>
  <si>
    <t>concrete</t>
    <phoneticPr fontId="1" type="noConversion"/>
  </si>
  <si>
    <t>Robson et a.l 2010</t>
    <phoneticPr fontId="1" type="noConversion"/>
  </si>
  <si>
    <t>Medium estimate</t>
    <phoneticPr fontId="1" type="noConversion"/>
  </si>
  <si>
    <t>Source:</t>
    <phoneticPr fontId="1" type="noConversion"/>
  </si>
  <si>
    <t>Number of buildings with PCB in caulking</t>
    <phoneticPr fontId="1" type="noConversion"/>
  </si>
  <si>
    <t>*Only considers buildings built between 1950-1977. Considers all samples above detection limit of 20 ppm because sample-specific data not provided.</t>
    <phoneticPr fontId="1" type="noConversion"/>
  </si>
  <si>
    <t>See 'PCB detect freq' tab</t>
    <phoneticPr fontId="1" type="noConversion"/>
  </si>
  <si>
    <t>See 'PCB concentrations' tab</t>
    <phoneticPr fontId="1" type="noConversion"/>
  </si>
  <si>
    <t>Low estimate</t>
    <phoneticPr fontId="1" type="noConversion"/>
  </si>
  <si>
    <t>Medium estimate</t>
    <phoneticPr fontId="1" type="noConversion"/>
  </si>
  <si>
    <t>High estimate</t>
    <phoneticPr fontId="1" type="noConversion"/>
  </si>
  <si>
    <t>Values used in this report:</t>
    <phoneticPr fontId="1" type="noConversion"/>
  </si>
  <si>
    <t>Note</t>
    <phoneticPr fontId="1" type="noConversion"/>
  </si>
  <si>
    <t xml:space="preserve"> PCB mass in caulk in Bay Area buildings (kg)</t>
    <phoneticPr fontId="1" type="noConversion"/>
  </si>
  <si>
    <t>PCB mass per building (kg)</t>
    <phoneticPr fontId="1" type="noConversion"/>
  </si>
  <si>
    <t>TOTAL LU</t>
  </si>
  <si>
    <t>Low estimate</t>
    <phoneticPr fontId="1" type="noConversion"/>
  </si>
  <si>
    <t>High estimate</t>
    <phoneticPr fontId="1" type="noConversion"/>
  </si>
  <si>
    <t>Average building area (sq ft)</t>
    <phoneticPr fontId="1" type="noConversion"/>
  </si>
  <si>
    <t>High</t>
    <phoneticPr fontId="1" type="noConversion"/>
  </si>
  <si>
    <t xml:space="preserve">Extrapolated number of buildings in area of interest </t>
    <phoneticPr fontId="1" type="noConversion"/>
  </si>
  <si>
    <t>Source: Section 3 of report (GIS evaluation)</t>
  </si>
  <si>
    <t>Source: Section 3 of report (GIS evaluation)</t>
    <phoneticPr fontId="1" type="noConversion"/>
  </si>
  <si>
    <t>Source:</t>
    <phoneticPr fontId="1" type="noConversion"/>
  </si>
  <si>
    <t>Extrapolated total area of interest and number of buildings in this area</t>
    <phoneticPr fontId="1" type="noConversion"/>
  </si>
  <si>
    <t>Assumption:</t>
    <phoneticPr fontId="1" type="noConversion"/>
  </si>
  <si>
    <t xml:space="preserve">% of buildings with PCB caulking &gt; 50 ppm </t>
    <phoneticPr fontId="1" type="noConversion"/>
  </si>
  <si>
    <t>Source:</t>
    <phoneticPr fontId="1" type="noConversion"/>
  </si>
  <si>
    <t>Minium % detected in previous surveys (see 'PCB detect freq' tab)</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</si>
</sst>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8"/>
      <name val="Verdana"/>
      <family val="2"/>
    </font>
    <font>
      <b/>
      <sz val="11"/>
      <color indexed="8"/>
      <name val="Calibri"/>
      <family val="2"/>
    </font>
    <font>
      <sz val="11"/>
      <color indexed="8"/>
      <name val="Calibri"/>
      <family val="2"/>
    </font>
    <font>
      <sz val="12"/>
      <color indexed="8"/>
      <name val="Calibri"/>
      <family val="2"/>
    </font>
    <font>
      <b/>
      <sz val="12"/>
      <color indexed="8"/>
      <name val="Calibri"/>
      <family val="2"/>
    </font>
    <font>
      <sz val="10"/>
      <name val="Arial"/>
      <family val="2"/>
    </font>
    <font>
      <sz val="12"/>
      <name val="Calibri"/>
      <family val="2"/>
    </font>
    <font>
      <b/>
      <sz val="12"/>
      <name val="Calibri"/>
      <family val="2"/>
    </font>
    <font>
      <vertAlign val="superscript"/>
      <sz val="11"/>
      <color indexed="8"/>
      <name val="Calibri"/>
      <family val="2"/>
    </font>
  </fonts>
  <fills count="3">
    <fill>
      <patternFill patternType="none"/>
    </fill>
    <fill>
      <patternFill patternType="gray125"/>
    </fill>
    <fill>
      <patternFill patternType="solid">
        <fgColor indexed="43"/>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cellStyleXfs>
  <cellXfs count="131">
    <xf numFmtId="0" fontId="0" fillId="0" borderId="0" xfId="0"/>
    <xf numFmtId="0" fontId="0" fillId="0" borderId="3" xfId="0" applyBorder="1"/>
    <xf numFmtId="0" fontId="0" fillId="0" borderId="9" xfId="0" applyBorder="1"/>
    <xf numFmtId="0" fontId="0" fillId="0" borderId="0" xfId="0" applyBorder="1"/>
    <xf numFmtId="0" fontId="0" fillId="0" borderId="0" xfId="0" applyFill="1" applyBorder="1"/>
    <xf numFmtId="0" fontId="0" fillId="0" borderId="9" xfId="0" applyFill="1" applyBorder="1"/>
    <xf numFmtId="0" fontId="0" fillId="0" borderId="14" xfId="0" applyBorder="1"/>
    <xf numFmtId="0" fontId="2" fillId="0" borderId="9" xfId="0" applyFont="1" applyBorder="1"/>
    <xf numFmtId="0" fontId="0" fillId="0" borderId="0" xfId="0" applyFill="1"/>
    <xf numFmtId="0" fontId="2" fillId="0" borderId="0" xfId="0" applyFont="1" applyFill="1" applyBorder="1"/>
    <xf numFmtId="0" fontId="2" fillId="0" borderId="0" xfId="0" applyFont="1" applyBorder="1"/>
    <xf numFmtId="2" fontId="0" fillId="0" borderId="0" xfId="0" applyNumberFormat="1"/>
    <xf numFmtId="0" fontId="2" fillId="0" borderId="0" xfId="0" applyFont="1" applyAlignment="1">
      <alignment horizontal="left"/>
    </xf>
    <xf numFmtId="0" fontId="0" fillId="0" borderId="0" xfId="0" applyAlignment="1">
      <alignment horizontal="left"/>
    </xf>
    <xf numFmtId="0" fontId="0" fillId="0" borderId="3" xfId="0" applyFill="1" applyBorder="1"/>
    <xf numFmtId="0" fontId="4" fillId="0" borderId="0" xfId="0" applyFont="1"/>
    <xf numFmtId="3" fontId="4" fillId="0" borderId="0" xfId="0" applyNumberFormat="1" applyFont="1" applyAlignment="1">
      <alignment horizontal="left"/>
    </xf>
    <xf numFmtId="3" fontId="0" fillId="0" borderId="0" xfId="0" applyNumberFormat="1" applyAlignment="1">
      <alignment horizontal="center"/>
    </xf>
    <xf numFmtId="3" fontId="2" fillId="0" borderId="8" xfId="0" applyNumberFormat="1" applyFont="1" applyBorder="1" applyAlignment="1">
      <alignment horizontal="center"/>
    </xf>
    <xf numFmtId="3" fontId="2" fillId="0" borderId="1" xfId="0" applyNumberFormat="1" applyFont="1" applyBorder="1" applyAlignment="1">
      <alignment horizontal="center"/>
    </xf>
    <xf numFmtId="3" fontId="0" fillId="0" borderId="10" xfId="0" applyNumberFormat="1" applyBorder="1" applyAlignment="1">
      <alignment horizontal="center"/>
    </xf>
    <xf numFmtId="3" fontId="0" fillId="0" borderId="14" xfId="0" applyNumberFormat="1" applyBorder="1" applyAlignment="1">
      <alignment horizontal="center"/>
    </xf>
    <xf numFmtId="3" fontId="0" fillId="0" borderId="0" xfId="0" applyNumberFormat="1" applyFill="1" applyBorder="1" applyAlignment="1">
      <alignment horizontal="center"/>
    </xf>
    <xf numFmtId="3" fontId="0" fillId="0" borderId="8" xfId="0" applyNumberFormat="1" applyBorder="1" applyAlignment="1">
      <alignment horizontal="center"/>
    </xf>
    <xf numFmtId="3" fontId="0" fillId="0" borderId="0" xfId="0" applyNumberFormat="1" applyFill="1" applyAlignment="1">
      <alignment horizontal="center"/>
    </xf>
    <xf numFmtId="3" fontId="2" fillId="0" borderId="2" xfId="0" applyNumberFormat="1" applyFont="1" applyBorder="1" applyAlignment="1">
      <alignment horizontal="center"/>
    </xf>
    <xf numFmtId="3" fontId="0" fillId="0" borderId="2" xfId="0" applyNumberFormat="1" applyBorder="1" applyAlignment="1">
      <alignment horizontal="center"/>
    </xf>
    <xf numFmtId="3" fontId="0" fillId="0" borderId="0" xfId="0" applyNumberFormat="1" applyBorder="1" applyAlignment="1">
      <alignment horizontal="center"/>
    </xf>
    <xf numFmtId="3" fontId="0" fillId="0" borderId="1" xfId="0" applyNumberFormat="1" applyBorder="1" applyAlignment="1">
      <alignment horizontal="center"/>
    </xf>
    <xf numFmtId="3" fontId="0" fillId="2" borderId="0" xfId="0" applyNumberFormat="1" applyFill="1" applyAlignment="1">
      <alignment horizontal="center"/>
    </xf>
    <xf numFmtId="3" fontId="2" fillId="2" borderId="0" xfId="0" applyNumberFormat="1" applyFont="1" applyFill="1" applyAlignment="1">
      <alignment horizontal="center"/>
    </xf>
    <xf numFmtId="3" fontId="3" fillId="0" borderId="0" xfId="0" applyNumberFormat="1" applyFont="1" applyAlignment="1">
      <alignment horizontal="center"/>
    </xf>
    <xf numFmtId="3" fontId="2" fillId="2" borderId="0" xfId="0" applyNumberFormat="1" applyFont="1" applyFill="1" applyAlignment="1">
      <alignment horizontal="left"/>
    </xf>
    <xf numFmtId="0" fontId="2" fillId="0" borderId="9" xfId="0" applyFont="1" applyFill="1" applyBorder="1"/>
    <xf numFmtId="3" fontId="2" fillId="0" borderId="8" xfId="0" applyNumberFormat="1" applyFont="1" applyFill="1" applyBorder="1" applyAlignment="1">
      <alignment horizontal="center"/>
    </xf>
    <xf numFmtId="3" fontId="2" fillId="0" borderId="1" xfId="0" applyNumberFormat="1" applyFont="1" applyFill="1" applyBorder="1" applyAlignment="1">
      <alignment horizontal="center"/>
    </xf>
    <xf numFmtId="3" fontId="0" fillId="0" borderId="10" xfId="0" applyNumberFormat="1" applyFill="1" applyBorder="1" applyAlignment="1">
      <alignment horizontal="center"/>
    </xf>
    <xf numFmtId="3" fontId="0" fillId="0" borderId="8" xfId="0" applyNumberFormat="1" applyFill="1" applyBorder="1" applyAlignment="1">
      <alignment horizontal="center"/>
    </xf>
    <xf numFmtId="3" fontId="0" fillId="0" borderId="2" xfId="0" applyNumberFormat="1" applyFill="1" applyBorder="1" applyAlignment="1">
      <alignment horizontal="center"/>
    </xf>
    <xf numFmtId="3" fontId="0" fillId="0" borderId="1" xfId="0" applyNumberFormat="1" applyFill="1" applyBorder="1" applyAlignment="1">
      <alignment horizontal="center"/>
    </xf>
    <xf numFmtId="0" fontId="5" fillId="0" borderId="0" xfId="0" applyFont="1"/>
    <xf numFmtId="3" fontId="5" fillId="0" borderId="0" xfId="0" applyNumberFormat="1" applyFont="1" applyAlignment="1">
      <alignment horizontal="left"/>
    </xf>
    <xf numFmtId="0" fontId="5" fillId="0" borderId="0" xfId="0" applyFont="1" applyFill="1" applyBorder="1"/>
    <xf numFmtId="164" fontId="2" fillId="2" borderId="0" xfId="0" applyNumberFormat="1" applyFont="1" applyFill="1" applyAlignment="1">
      <alignment horizontal="center"/>
    </xf>
    <xf numFmtId="4" fontId="0" fillId="0" borderId="8" xfId="0" applyNumberFormat="1" applyFill="1" applyBorder="1" applyAlignment="1">
      <alignment horizontal="center"/>
    </xf>
    <xf numFmtId="164" fontId="2" fillId="2" borderId="0" xfId="0" applyNumberFormat="1" applyFont="1" applyFill="1" applyAlignment="1">
      <alignment horizontal="center"/>
    </xf>
    <xf numFmtId="4" fontId="0" fillId="0" borderId="8" xfId="0" applyNumberFormat="1" applyFill="1" applyBorder="1" applyAlignment="1">
      <alignment horizontal="center"/>
    </xf>
    <xf numFmtId="0" fontId="5" fillId="0" borderId="16" xfId="0" applyFont="1" applyFill="1" applyBorder="1"/>
    <xf numFmtId="0" fontId="2" fillId="0" borderId="16" xfId="0" applyFont="1" applyBorder="1" applyAlignment="1">
      <alignment horizontal="center" vertical="center" wrapText="1"/>
    </xf>
    <xf numFmtId="1" fontId="2" fillId="0" borderId="16" xfId="0" applyNumberFormat="1" applyFont="1" applyBorder="1" applyAlignment="1">
      <alignment horizontal="center"/>
    </xf>
    <xf numFmtId="165" fontId="2" fillId="0" borderId="16" xfId="0" applyNumberFormat="1" applyFont="1" applyBorder="1" applyAlignment="1">
      <alignment horizontal="center"/>
    </xf>
    <xf numFmtId="3" fontId="2" fillId="0" borderId="16" xfId="0" applyNumberFormat="1" applyFont="1" applyBorder="1" applyAlignment="1">
      <alignment horizontal="center" vertical="center"/>
    </xf>
    <xf numFmtId="164" fontId="2" fillId="0" borderId="16" xfId="0" applyNumberFormat="1" applyFont="1" applyBorder="1" applyAlignment="1">
      <alignment horizontal="center" vertical="center"/>
    </xf>
    <xf numFmtId="0" fontId="0" fillId="0" borderId="0" xfId="0" applyAlignment="1"/>
    <xf numFmtId="0" fontId="0" fillId="0" borderId="0" xfId="0" applyAlignment="1">
      <alignment horizontal="center"/>
    </xf>
    <xf numFmtId="0" fontId="2" fillId="0" borderId="0" xfId="0" applyFont="1" applyAlignment="1">
      <alignment horizontal="center"/>
    </xf>
    <xf numFmtId="3" fontId="0" fillId="0" borderId="0" xfId="0" applyNumberFormat="1" applyAlignment="1">
      <alignment horizontal="center"/>
    </xf>
    <xf numFmtId="0" fontId="5" fillId="0" borderId="0" xfId="0" applyFont="1" applyFill="1"/>
    <xf numFmtId="0" fontId="4" fillId="0" borderId="0" xfId="0" applyFont="1" applyFill="1"/>
    <xf numFmtId="0" fontId="4" fillId="0" borderId="0" xfId="0" applyFont="1" applyFill="1" applyAlignment="1">
      <alignment wrapText="1"/>
    </xf>
    <xf numFmtId="9" fontId="4" fillId="0" borderId="0" xfId="0" applyNumberFormat="1" applyFont="1" applyFill="1" applyAlignment="1">
      <alignment horizontal="center" wrapText="1"/>
    </xf>
    <xf numFmtId="3" fontId="5" fillId="0" borderId="0" xfId="0" applyNumberFormat="1" applyFont="1" applyFill="1" applyAlignment="1">
      <alignment horizontal="left"/>
    </xf>
    <xf numFmtId="3" fontId="4" fillId="0" borderId="0" xfId="0" applyNumberFormat="1" applyFont="1" applyFill="1" applyAlignment="1">
      <alignment horizontal="left"/>
    </xf>
    <xf numFmtId="0" fontId="2" fillId="0" borderId="0" xfId="0" applyFont="1" applyFill="1"/>
    <xf numFmtId="0" fontId="0" fillId="0" borderId="16" xfId="0" applyFill="1" applyBorder="1"/>
    <xf numFmtId="3" fontId="4" fillId="0" borderId="0" xfId="0" applyNumberFormat="1" applyFont="1" applyFill="1" applyAlignment="1">
      <alignment horizontal="center"/>
    </xf>
    <xf numFmtId="0" fontId="7" fillId="0" borderId="0" xfId="1" applyFont="1" applyFill="1" applyAlignment="1">
      <alignment horizontal="center"/>
    </xf>
    <xf numFmtId="3" fontId="5" fillId="0" borderId="0" xfId="0" applyNumberFormat="1" applyFont="1" applyFill="1" applyAlignment="1">
      <alignment horizontal="center"/>
    </xf>
    <xf numFmtId="0" fontId="8" fillId="0" borderId="0" xfId="1" applyFont="1" applyFill="1" applyAlignment="1">
      <alignment horizontal="center"/>
    </xf>
    <xf numFmtId="1" fontId="4" fillId="0" borderId="0" xfId="0" applyNumberFormat="1" applyFont="1" applyFill="1" applyAlignment="1">
      <alignment horizontal="center"/>
    </xf>
    <xf numFmtId="0" fontId="5" fillId="0" borderId="0" xfId="0" applyFont="1" applyFill="1" applyAlignment="1">
      <alignment horizontal="center"/>
    </xf>
    <xf numFmtId="9" fontId="4" fillId="0" borderId="0" xfId="0" applyNumberFormat="1" applyFont="1" applyFill="1"/>
    <xf numFmtId="0" fontId="0" fillId="0" borderId="0" xfId="0" applyFill="1" applyAlignment="1">
      <alignment wrapText="1"/>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4" fillId="0" borderId="0" xfId="0" applyFont="1" applyFill="1" applyAlignment="1">
      <alignment vertical="center" wrapText="1"/>
    </xf>
    <xf numFmtId="1" fontId="4" fillId="0" borderId="0" xfId="0" applyNumberFormat="1" applyFont="1" applyFill="1" applyAlignment="1">
      <alignment horizontal="center" vertical="center" wrapText="1"/>
    </xf>
    <xf numFmtId="1"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center" vertical="center" wrapText="1"/>
    </xf>
    <xf numFmtId="1" fontId="4" fillId="0" borderId="0" xfId="0" applyNumberFormat="1" applyFont="1"/>
    <xf numFmtId="1" fontId="4" fillId="0" borderId="0" xfId="0" applyNumberFormat="1" applyFont="1" applyAlignment="1">
      <alignment horizontal="center"/>
    </xf>
    <xf numFmtId="0" fontId="4" fillId="0" borderId="0" xfId="0" applyFont="1" applyAlignment="1">
      <alignment horizontal="center"/>
    </xf>
    <xf numFmtId="3" fontId="4" fillId="0" borderId="0" xfId="0" applyNumberFormat="1" applyFont="1" applyAlignment="1">
      <alignment horizontal="center"/>
    </xf>
    <xf numFmtId="3" fontId="4" fillId="0" borderId="0" xfId="0" applyNumberFormat="1" applyFont="1"/>
    <xf numFmtId="3" fontId="5" fillId="0" borderId="0" xfId="0" applyNumberFormat="1" applyFont="1" applyFill="1" applyAlignment="1">
      <alignment horizontal="center"/>
    </xf>
    <xf numFmtId="3" fontId="0" fillId="0" borderId="0" xfId="0" applyNumberFormat="1"/>
    <xf numFmtId="1" fontId="0" fillId="0" borderId="0" xfId="0" applyNumberFormat="1" applyAlignment="1">
      <alignment horizontal="center"/>
    </xf>
    <xf numFmtId="1" fontId="0" fillId="0" borderId="13" xfId="0" applyNumberFormat="1" applyBorder="1" applyAlignment="1">
      <alignment horizontal="center"/>
    </xf>
    <xf numFmtId="1" fontId="0" fillId="0" borderId="1" xfId="0" applyNumberFormat="1" applyBorder="1" applyAlignment="1">
      <alignment horizontal="center"/>
    </xf>
    <xf numFmtId="1" fontId="0" fillId="0" borderId="11" xfId="0" applyNumberFormat="1" applyBorder="1" applyAlignment="1">
      <alignment horizontal="center"/>
    </xf>
    <xf numFmtId="1" fontId="0" fillId="0" borderId="0" xfId="0" applyNumberFormat="1" applyBorder="1" applyAlignment="1">
      <alignment horizontal="center"/>
    </xf>
    <xf numFmtId="1" fontId="0" fillId="0" borderId="0" xfId="0" applyNumberFormat="1" applyAlignment="1">
      <alignment horizontal="center"/>
    </xf>
    <xf numFmtId="1" fontId="0" fillId="0" borderId="7" xfId="0" applyNumberFormat="1" applyBorder="1" applyAlignment="1">
      <alignment horizontal="center"/>
    </xf>
    <xf numFmtId="1" fontId="0" fillId="0" borderId="8" xfId="0" applyNumberFormat="1" applyBorder="1" applyAlignment="1">
      <alignment horizontal="center"/>
    </xf>
    <xf numFmtId="1" fontId="0" fillId="0" borderId="6" xfId="0" applyNumberFormat="1" applyBorder="1" applyAlignment="1">
      <alignment horizontal="center"/>
    </xf>
    <xf numFmtId="1" fontId="0" fillId="0" borderId="11" xfId="0" applyNumberFormat="1" applyBorder="1" applyAlignment="1">
      <alignment horizontal="center"/>
    </xf>
    <xf numFmtId="1" fontId="0" fillId="0" borderId="15" xfId="0" applyNumberFormat="1" applyBorder="1" applyAlignment="1">
      <alignment horizontal="center"/>
    </xf>
    <xf numFmtId="1" fontId="0" fillId="0" borderId="3" xfId="0" applyNumberFormat="1" applyBorder="1" applyAlignment="1">
      <alignment horizontal="center"/>
    </xf>
    <xf numFmtId="1" fontId="0" fillId="0" borderId="14" xfId="0" applyNumberFormat="1" applyBorder="1" applyAlignment="1">
      <alignment horizontal="center"/>
    </xf>
    <xf numFmtId="1" fontId="0" fillId="0" borderId="5" xfId="0" applyNumberFormat="1" applyBorder="1" applyAlignment="1">
      <alignment horizontal="center"/>
    </xf>
    <xf numFmtId="1" fontId="0" fillId="0" borderId="8" xfId="0" applyNumberFormat="1" applyBorder="1" applyAlignment="1">
      <alignment horizontal="center"/>
    </xf>
    <xf numFmtId="1" fontId="0" fillId="0" borderId="12" xfId="0" applyNumberFormat="1" applyBorder="1" applyAlignment="1">
      <alignment horizontal="center"/>
    </xf>
    <xf numFmtId="1" fontId="0" fillId="0" borderId="7" xfId="0" applyNumberFormat="1" applyBorder="1" applyAlignment="1">
      <alignment horizontal="center"/>
    </xf>
    <xf numFmtId="1" fontId="0" fillId="0" borderId="4" xfId="0" applyNumberFormat="1" applyBorder="1" applyAlignment="1">
      <alignment horizontal="center"/>
    </xf>
    <xf numFmtId="1" fontId="0" fillId="0" borderId="10" xfId="0" applyNumberFormat="1" applyBorder="1" applyAlignment="1">
      <alignment horizontal="center"/>
    </xf>
    <xf numFmtId="3" fontId="5" fillId="0" borderId="0" xfId="0" applyNumberFormat="1" applyFont="1" applyFill="1" applyBorder="1"/>
    <xf numFmtId="3" fontId="2" fillId="0" borderId="0" xfId="0" applyNumberFormat="1" applyFont="1" applyFill="1" applyBorder="1" applyAlignment="1">
      <alignment horizontal="center" vertical="center" wrapText="1"/>
    </xf>
    <xf numFmtId="3" fontId="5" fillId="0" borderId="0" xfId="0" applyNumberFormat="1" applyFont="1" applyAlignment="1">
      <alignment horizontal="center"/>
    </xf>
    <xf numFmtId="0" fontId="3" fillId="0" borderId="0" xfId="0" applyFont="1" applyFill="1" applyBorder="1"/>
    <xf numFmtId="0" fontId="3" fillId="0" borderId="0" xfId="0" applyFont="1"/>
    <xf numFmtId="3" fontId="3" fillId="0" borderId="0" xfId="0" applyNumberFormat="1" applyFont="1" applyAlignment="1">
      <alignment horizontal="center"/>
    </xf>
    <xf numFmtId="3" fontId="3" fillId="0" borderId="0" xfId="0" applyNumberFormat="1" applyFont="1" applyFill="1" applyAlignment="1">
      <alignment horizontal="center"/>
    </xf>
    <xf numFmtId="3" fontId="3" fillId="0" borderId="0" xfId="0" applyNumberFormat="1" applyFont="1" applyFill="1" applyAlignment="1">
      <alignment horizontal="left"/>
    </xf>
    <xf numFmtId="9" fontId="0" fillId="0" borderId="0" xfId="0" applyNumberFormat="1" applyFill="1" applyAlignment="1">
      <alignment horizontal="center"/>
    </xf>
    <xf numFmtId="3" fontId="0" fillId="0" borderId="0" xfId="0" applyNumberFormat="1" applyFill="1" applyAlignment="1">
      <alignment horizontal="left"/>
    </xf>
    <xf numFmtId="2" fontId="0" fillId="0" borderId="0" xfId="0" applyNumberFormat="1" applyFill="1" applyAlignment="1">
      <alignment horizontal="center"/>
    </xf>
    <xf numFmtId="165" fontId="0" fillId="0" borderId="0" xfId="0" applyNumberFormat="1" applyFill="1" applyAlignment="1">
      <alignment horizontal="center"/>
    </xf>
    <xf numFmtId="9" fontId="3" fillId="0" borderId="0" xfId="0" applyNumberFormat="1" applyFont="1" applyFill="1" applyAlignment="1">
      <alignment horizontal="center"/>
    </xf>
    <xf numFmtId="0" fontId="3" fillId="0" borderId="0" xfId="0" applyFont="1" applyFill="1"/>
    <xf numFmtId="2" fontId="3" fillId="0" borderId="0" xfId="0" applyNumberFormat="1" applyFont="1" applyFill="1" applyAlignment="1">
      <alignment horizontal="center"/>
    </xf>
    <xf numFmtId="165" fontId="3" fillId="0" borderId="0" xfId="0" applyNumberFormat="1" applyFont="1" applyFill="1" applyAlignment="1">
      <alignment horizontal="center"/>
    </xf>
    <xf numFmtId="1" fontId="3" fillId="0" borderId="0" xfId="0" applyNumberFormat="1" applyFont="1" applyFill="1" applyAlignment="1">
      <alignment horizontal="center"/>
    </xf>
    <xf numFmtId="1" fontId="0" fillId="0" borderId="0" xfId="0" applyNumberFormat="1" applyFill="1" applyAlignment="1">
      <alignment horizontal="center"/>
    </xf>
    <xf numFmtId="0" fontId="0" fillId="0" borderId="0" xfId="0" applyAlignment="1">
      <alignment horizontal="left" wrapText="1"/>
    </xf>
    <xf numFmtId="0" fontId="0" fillId="0" borderId="0" xfId="0" applyAlignment="1">
      <alignment horizontal="left" vertical="center"/>
    </xf>
    <xf numFmtId="0" fontId="2" fillId="2" borderId="0" xfId="0" applyFont="1" applyFill="1"/>
    <xf numFmtId="0" fontId="3" fillId="0" borderId="5" xfId="0" applyFont="1" applyBorder="1"/>
    <xf numFmtId="0" fontId="4" fillId="0" borderId="0" xfId="0" applyFont="1" applyFill="1" applyAlignment="1">
      <alignment wrapText="1"/>
    </xf>
    <xf numFmtId="0" fontId="0" fillId="0" borderId="0" xfId="0" applyAlignment="1">
      <alignment wrapText="1"/>
    </xf>
  </cellXfs>
  <cellStyles count="2">
    <cellStyle name="Normal" xfId="0" builtinId="0"/>
    <cellStyle name="Normal_PCB caulk conc distribution" xfId="1"/>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an/PCBs%20in%20Caulk/Draft%20report%20sent%20to%20ABAG%20101311/PCB%20Building%20mass%20estimates%201012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ilding count_area_volume"/>
      <sheetName val="Summary Table"/>
      <sheetName val="Factor Ranges"/>
      <sheetName val="Total PCB mass-Low"/>
      <sheetName val="Total PCB mass-Med"/>
      <sheetName val="Total PCB mass-High"/>
      <sheetName val="PCB detect freq"/>
      <sheetName val="PCB concentrations"/>
    </sheetNames>
    <sheetDataSet>
      <sheetData sheetId="0" refreshError="1">
        <row r="58">
          <cell r="A58" t="str">
            <v>LULC</v>
          </cell>
          <cell r="B58" t="str">
            <v>ALAMEDA</v>
          </cell>
          <cell r="C58" t="str">
            <v>CONTRA</v>
          </cell>
          <cell r="D58" t="str">
            <v>FAIRFIELD</v>
          </cell>
          <cell r="E58" t="str">
            <v>SANMATEO</v>
          </cell>
          <cell r="F58" t="str">
            <v>SANTACLARA</v>
          </cell>
          <cell r="G58" t="str">
            <v>VALLEJO</v>
          </cell>
          <cell r="H58" t="str">
            <v>TOTAL LU</v>
          </cell>
        </row>
        <row r="59">
          <cell r="A59" t="str">
            <v>com</v>
          </cell>
        </row>
        <row r="60">
          <cell r="A60" t="str">
            <v>ind</v>
          </cell>
        </row>
        <row r="61">
          <cell r="A61" t="str">
            <v>inf</v>
          </cell>
        </row>
        <row r="62">
          <cell r="A62" t="str">
            <v>mix</v>
          </cell>
        </row>
        <row r="63">
          <cell r="A63" t="str">
            <v>TOTAL MRP</v>
          </cell>
        </row>
        <row r="67">
          <cell r="A67" t="str">
            <v>LULC</v>
          </cell>
          <cell r="B67" t="str">
            <v>ALAMEDA</v>
          </cell>
          <cell r="C67" t="str">
            <v>CONTRA</v>
          </cell>
          <cell r="D67" t="str">
            <v>FAIRFIELD</v>
          </cell>
          <cell r="E67" t="str">
            <v>SANMATEO</v>
          </cell>
          <cell r="F67" t="str">
            <v>SANTACLARA</v>
          </cell>
          <cell r="G67" t="str">
            <v>VALLEJO</v>
          </cell>
          <cell r="H67" t="str">
            <v>TOTAL LU</v>
          </cell>
        </row>
        <row r="68">
          <cell r="A68" t="str">
            <v>com</v>
          </cell>
        </row>
        <row r="69">
          <cell r="A69" t="str">
            <v>ind</v>
          </cell>
        </row>
        <row r="70">
          <cell r="A70" t="str">
            <v>inf</v>
          </cell>
        </row>
        <row r="71">
          <cell r="A71" t="str">
            <v>mix</v>
          </cell>
        </row>
        <row r="72">
          <cell r="A72" t="str">
            <v>TOTAL MRP</v>
          </cell>
        </row>
        <row r="73">
          <cell r="A73" t="str">
            <v>AREA SQ MI</v>
          </cell>
        </row>
        <row r="74">
          <cell r="A74" t="str">
            <v>COUNT/SQ MI</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topLeftCell="A2" workbookViewId="0">
      <selection activeCell="C13" sqref="C13"/>
    </sheetView>
  </sheetViews>
  <sheetFormatPr defaultColWidth="11.5546875" defaultRowHeight="14.4" x14ac:dyDescent="0.3"/>
  <cols>
    <col min="1" max="1" width="21" customWidth="1"/>
    <col min="2" max="2" width="26.77734375" customWidth="1"/>
    <col min="3" max="3" width="22.44140625" customWidth="1"/>
  </cols>
  <sheetData>
    <row r="2" spans="1:3" ht="15.6" x14ac:dyDescent="0.3">
      <c r="A2" s="42" t="s">
        <v>89</v>
      </c>
    </row>
    <row r="3" spans="1:3" ht="28.8" x14ac:dyDescent="0.3">
      <c r="A3" s="47"/>
      <c r="B3" s="48" t="s">
        <v>126</v>
      </c>
      <c r="C3" s="48" t="s">
        <v>127</v>
      </c>
    </row>
    <row r="4" spans="1:3" ht="15.6" x14ac:dyDescent="0.3">
      <c r="A4" s="47" t="s">
        <v>129</v>
      </c>
      <c r="B4" s="49">
        <v>767</v>
      </c>
      <c r="C4" s="50">
        <v>0.6</v>
      </c>
    </row>
    <row r="5" spans="1:3" ht="15.6" x14ac:dyDescent="0.3">
      <c r="A5" s="47" t="s">
        <v>115</v>
      </c>
      <c r="B5" s="51">
        <v>10552</v>
      </c>
      <c r="C5" s="52">
        <v>4.7</v>
      </c>
    </row>
    <row r="6" spans="1:3" ht="15.6" x14ac:dyDescent="0.3">
      <c r="A6" s="47" t="s">
        <v>130</v>
      </c>
      <c r="B6" s="51">
        <v>46069</v>
      </c>
      <c r="C6" s="51">
        <v>16</v>
      </c>
    </row>
    <row r="8" spans="1:3" ht="15.6" x14ac:dyDescent="0.3">
      <c r="A8" s="42"/>
    </row>
  </sheetData>
  <phoneticPr fontId="1" type="noConversion"/>
  <pageMargins left="0.75" right="0.75" top="1" bottom="1" header="0.5" footer="0.5"/>
  <pageSetup orientation="portrait" r:id="rId1"/>
  <colBreaks count="1" manualBreakCount="1">
    <brk id="4" max="1048575" man="1"/>
  </colBreaks>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6"/>
  <sheetViews>
    <sheetView zoomScale="125" workbookViewId="0">
      <selection activeCell="F19" sqref="A1:F19"/>
    </sheetView>
  </sheetViews>
  <sheetFormatPr defaultColWidth="8.77734375" defaultRowHeight="14.4" x14ac:dyDescent="0.3"/>
  <cols>
    <col min="1" max="1" width="40" style="13" customWidth="1"/>
    <col min="2" max="2" width="10" style="13" customWidth="1"/>
    <col min="3" max="3" width="8.109375" style="54" customWidth="1"/>
    <col min="4" max="4" width="23.109375" style="13" customWidth="1"/>
    <col min="5" max="5" width="70" style="13" customWidth="1"/>
    <col min="6" max="16384" width="8.77734375" style="53"/>
  </cols>
  <sheetData>
    <row r="1" spans="1:5" x14ac:dyDescent="0.3">
      <c r="A1" s="12" t="s">
        <v>60</v>
      </c>
      <c r="B1" s="12" t="s">
        <v>79</v>
      </c>
      <c r="C1" s="55" t="s">
        <v>80</v>
      </c>
      <c r="D1" s="12" t="s">
        <v>59</v>
      </c>
      <c r="E1" s="12" t="s">
        <v>81</v>
      </c>
    </row>
    <row r="2" spans="1:5" x14ac:dyDescent="0.3">
      <c r="A2" s="13" t="s">
        <v>70</v>
      </c>
      <c r="C2" s="54">
        <v>10.3</v>
      </c>
      <c r="D2" s="13" t="s">
        <v>54</v>
      </c>
      <c r="E2" s="13" t="s">
        <v>55</v>
      </c>
    </row>
    <row r="4" spans="1:5" x14ac:dyDescent="0.3">
      <c r="A4" s="13" t="s">
        <v>15</v>
      </c>
      <c r="C4" s="54">
        <v>1.46</v>
      </c>
      <c r="D4" s="13" t="s">
        <v>16</v>
      </c>
      <c r="E4" s="13" t="s">
        <v>9</v>
      </c>
    </row>
    <row r="6" spans="1:5" x14ac:dyDescent="0.3">
      <c r="A6" s="13" t="s">
        <v>14</v>
      </c>
      <c r="C6" s="54">
        <v>15</v>
      </c>
      <c r="D6" s="13" t="s">
        <v>16</v>
      </c>
      <c r="E6" s="13" t="s">
        <v>10</v>
      </c>
    </row>
    <row r="8" spans="1:5" ht="16.2" x14ac:dyDescent="0.3">
      <c r="A8" s="13" t="s">
        <v>12</v>
      </c>
      <c r="C8" s="54">
        <v>55</v>
      </c>
      <c r="D8" s="13" t="s">
        <v>17</v>
      </c>
      <c r="E8" s="13" t="s">
        <v>11</v>
      </c>
    </row>
    <row r="10" spans="1:5" x14ac:dyDescent="0.3">
      <c r="A10" s="13" t="s">
        <v>39</v>
      </c>
      <c r="B10" s="13" t="s">
        <v>82</v>
      </c>
      <c r="C10" s="54">
        <v>22</v>
      </c>
      <c r="D10" s="126" t="s">
        <v>119</v>
      </c>
    </row>
    <row r="11" spans="1:5" x14ac:dyDescent="0.3">
      <c r="B11" s="13" t="s">
        <v>83</v>
      </c>
      <c r="C11" s="54">
        <v>36</v>
      </c>
      <c r="D11" s="126"/>
    </row>
    <row r="12" spans="1:5" x14ac:dyDescent="0.3">
      <c r="B12" s="13" t="s">
        <v>132</v>
      </c>
      <c r="C12" s="54">
        <v>46</v>
      </c>
      <c r="D12" s="126"/>
    </row>
    <row r="14" spans="1:5" x14ac:dyDescent="0.3">
      <c r="A14" s="13" t="s">
        <v>13</v>
      </c>
      <c r="B14" s="13" t="s">
        <v>82</v>
      </c>
      <c r="C14" s="56">
        <v>950</v>
      </c>
      <c r="D14" s="126" t="s">
        <v>120</v>
      </c>
      <c r="E14" s="125" t="s">
        <v>107</v>
      </c>
    </row>
    <row r="15" spans="1:5" x14ac:dyDescent="0.3">
      <c r="B15" s="13" t="s">
        <v>83</v>
      </c>
      <c r="C15" s="56">
        <v>7990</v>
      </c>
      <c r="D15" s="126"/>
      <c r="E15" s="125"/>
    </row>
    <row r="16" spans="1:5" x14ac:dyDescent="0.3">
      <c r="B16" s="13" t="s">
        <v>132</v>
      </c>
      <c r="C16" s="56">
        <v>27300</v>
      </c>
      <c r="D16" s="126"/>
      <c r="E16" s="125"/>
    </row>
  </sheetData>
  <mergeCells count="3">
    <mergeCell ref="E14:E16"/>
    <mergeCell ref="D10:D12"/>
    <mergeCell ref="D14:D16"/>
  </mergeCells>
  <phoneticPr fontId="1" type="noConversion"/>
  <pageMargins left="0.7" right="0.7" top="0.75" bottom="0.75" header="0.3" footer="0.3"/>
  <pageSetup scale="76" orientation="landscape"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zoomScale="125" workbookViewId="0">
      <selection activeCell="E1" sqref="E1"/>
    </sheetView>
  </sheetViews>
  <sheetFormatPr defaultColWidth="8.77734375" defaultRowHeight="14.4" x14ac:dyDescent="0.3"/>
  <cols>
    <col min="1" max="1" width="14.77734375" customWidth="1"/>
    <col min="2" max="2" width="11.5546875" style="17" customWidth="1"/>
    <col min="3" max="3" width="11.44140625" style="17" customWidth="1"/>
    <col min="4" max="4" width="9.109375" style="17" bestFit="1" customWidth="1"/>
    <col min="5" max="5" width="10.88671875" style="17" customWidth="1"/>
    <col min="6" max="6" width="12.6640625" style="17" customWidth="1"/>
    <col min="7" max="7" width="9.109375" style="17" bestFit="1" customWidth="1"/>
    <col min="8" max="8" width="11.44140625" style="17" customWidth="1"/>
  </cols>
  <sheetData>
    <row r="1" spans="1:9" x14ac:dyDescent="0.3">
      <c r="A1" s="9" t="s">
        <v>56</v>
      </c>
    </row>
    <row r="2" spans="1:9" s="111" customFormat="1" ht="15" thickBot="1" x14ac:dyDescent="0.35">
      <c r="A2" s="110" t="s">
        <v>135</v>
      </c>
      <c r="B2" s="31"/>
      <c r="C2" s="31"/>
      <c r="D2" s="31"/>
      <c r="E2" s="31"/>
      <c r="F2" s="31"/>
      <c r="G2" s="31"/>
      <c r="H2" s="31"/>
    </row>
    <row r="3" spans="1:9" ht="15" thickBot="1" x14ac:dyDescent="0.35">
      <c r="A3" s="7" t="str">
        <f>'[1]building count_area_volume'!A58</f>
        <v>LULC</v>
      </c>
      <c r="B3" s="18" t="str">
        <f>'[1]building count_area_volume'!B58</f>
        <v>ALAMEDA</v>
      </c>
      <c r="C3" s="18" t="str">
        <f>'[1]building count_area_volume'!C58</f>
        <v>CONTRA</v>
      </c>
      <c r="D3" s="18" t="str">
        <f>'[1]building count_area_volume'!D58</f>
        <v>FAIRFIELD</v>
      </c>
      <c r="E3" s="18" t="str">
        <f>'[1]building count_area_volume'!E58</f>
        <v>SANMATEO</v>
      </c>
      <c r="F3" s="18" t="str">
        <f>'[1]building count_area_volume'!F58</f>
        <v>SANTACLARA</v>
      </c>
      <c r="G3" s="18" t="str">
        <f>'[1]building count_area_volume'!G58</f>
        <v>VALLEJO</v>
      </c>
      <c r="H3" s="19" t="str">
        <f>'[1]building count_area_volume'!H58</f>
        <v>TOTAL LU</v>
      </c>
    </row>
    <row r="4" spans="1:9" x14ac:dyDescent="0.3">
      <c r="A4" s="1" t="str">
        <f>'[1]building count_area_volume'!A59</f>
        <v>com</v>
      </c>
      <c r="B4" s="88">
        <v>577.82136790140351</v>
      </c>
      <c r="C4" s="88">
        <v>461.2862604002699</v>
      </c>
      <c r="D4" s="88">
        <v>12.955052546483428</v>
      </c>
      <c r="E4" s="88">
        <v>118.38054065553344</v>
      </c>
      <c r="F4" s="88">
        <v>978.70229157940332</v>
      </c>
      <c r="G4" s="98">
        <v>2.6251153136531369</v>
      </c>
      <c r="H4" s="98">
        <v>2151.7706283967468</v>
      </c>
    </row>
    <row r="5" spans="1:9" x14ac:dyDescent="0.3">
      <c r="A5" s="1" t="str">
        <f>'[1]building count_area_volume'!A60</f>
        <v>ind</v>
      </c>
      <c r="B5" s="88">
        <v>447.28647110016607</v>
      </c>
      <c r="C5" s="88">
        <v>138.14436698898135</v>
      </c>
      <c r="D5" s="88"/>
      <c r="E5" s="88">
        <v>11.406008296737527</v>
      </c>
      <c r="F5" s="88">
        <v>776.88223122003956</v>
      </c>
      <c r="G5" s="99"/>
      <c r="H5" s="99">
        <v>1373.7190776059247</v>
      </c>
    </row>
    <row r="6" spans="1:9" x14ac:dyDescent="0.3">
      <c r="A6" s="1" t="str">
        <f>'[1]building count_area_volume'!A61</f>
        <v>inf</v>
      </c>
      <c r="B6" s="88">
        <v>18.366943712875241</v>
      </c>
      <c r="C6" s="88">
        <v>27.725477850236118</v>
      </c>
      <c r="D6" s="88"/>
      <c r="E6" s="88">
        <v>3.9748210731055016</v>
      </c>
      <c r="F6" s="88">
        <v>11.988747954905898</v>
      </c>
      <c r="G6" s="99"/>
      <c r="H6" s="99">
        <v>62.055990591122757</v>
      </c>
    </row>
    <row r="7" spans="1:9" ht="15" thickBot="1" x14ac:dyDescent="0.35">
      <c r="A7" s="1" t="str">
        <f>'[1]building count_area_volume'!A62</f>
        <v>mix</v>
      </c>
      <c r="B7" s="88">
        <v>0.58094955782817059</v>
      </c>
      <c r="C7" s="88"/>
      <c r="D7" s="88"/>
      <c r="E7" s="88">
        <v>10.887553374158548</v>
      </c>
      <c r="F7" s="88">
        <v>37.557167763946914</v>
      </c>
      <c r="G7" s="96"/>
      <c r="H7" s="96">
        <v>49.025670695933634</v>
      </c>
    </row>
    <row r="8" spans="1:9" ht="15" thickBot="1" x14ac:dyDescent="0.35">
      <c r="A8" s="2" t="str">
        <f>'[1]building count_area_volume'!A63</f>
        <v>TOTAL MRP</v>
      </c>
      <c r="B8" s="94">
        <v>1044.055732272273</v>
      </c>
      <c r="C8" s="95">
        <v>627.15610523948726</v>
      </c>
      <c r="D8" s="95">
        <v>12.955052546483428</v>
      </c>
      <c r="E8" s="95">
        <v>144.64892339953502</v>
      </c>
      <c r="F8" s="95">
        <v>1805.1304385182955</v>
      </c>
      <c r="G8" s="96">
        <v>2.6251153136531369</v>
      </c>
      <c r="H8" s="97">
        <f>SUM(H4:H7)</f>
        <v>3636.5713672897277</v>
      </c>
      <c r="I8" s="11"/>
    </row>
    <row r="10" spans="1:9" x14ac:dyDescent="0.3">
      <c r="A10" s="9" t="s">
        <v>133</v>
      </c>
      <c r="B10" s="22"/>
      <c r="C10" s="22"/>
      <c r="D10" s="22"/>
    </row>
    <row r="11" spans="1:9" s="111" customFormat="1" ht="15" thickBot="1" x14ac:dyDescent="0.35">
      <c r="A11" s="110" t="s">
        <v>135</v>
      </c>
      <c r="B11" s="31"/>
      <c r="C11" s="31"/>
      <c r="D11" s="31"/>
      <c r="E11" s="31"/>
      <c r="F11" s="31"/>
      <c r="G11" s="31"/>
      <c r="H11" s="31"/>
    </row>
    <row r="12" spans="1:9" ht="15" thickBot="1" x14ac:dyDescent="0.35">
      <c r="A12" s="7" t="str">
        <f>'[1]building count_area_volume'!A67</f>
        <v>LULC</v>
      </c>
      <c r="B12" s="18" t="str">
        <f>'[1]building count_area_volume'!B67</f>
        <v>ALAMEDA</v>
      </c>
      <c r="C12" s="18" t="str">
        <f>'[1]building count_area_volume'!C67</f>
        <v>CONTRA</v>
      </c>
      <c r="D12" s="18" t="str">
        <f>'[1]building count_area_volume'!D67</f>
        <v>FAIRFIELD</v>
      </c>
      <c r="E12" s="18" t="str">
        <f>'[1]building count_area_volume'!E67</f>
        <v>SANMATEO</v>
      </c>
      <c r="F12" s="18" t="str">
        <f>'[1]building count_area_volume'!F67</f>
        <v>SANTACLARA</v>
      </c>
      <c r="G12" s="18" t="str">
        <f>'[1]building count_area_volume'!G67</f>
        <v>VALLEJO</v>
      </c>
      <c r="H12" s="19" t="str">
        <f>'[1]building count_area_volume'!H67</f>
        <v>TOTAL LU</v>
      </c>
      <c r="I12" s="10"/>
    </row>
    <row r="13" spans="1:9" x14ac:dyDescent="0.3">
      <c r="A13" s="1" t="str">
        <f>'[1]building count_area_volume'!A68</f>
        <v>com</v>
      </c>
      <c r="B13" s="92">
        <v>996.55193381293873</v>
      </c>
      <c r="C13" s="92">
        <v>941.89341128850924</v>
      </c>
      <c r="D13" s="93">
        <v>54.599838318512532</v>
      </c>
      <c r="E13" s="93">
        <v>288.03051254387697</v>
      </c>
      <c r="F13" s="93">
        <v>1931.8361633497657</v>
      </c>
      <c r="G13" s="93">
        <v>5.4312730627306278</v>
      </c>
      <c r="H13" s="89">
        <v>4218.3431323763334</v>
      </c>
      <c r="I13" s="3"/>
    </row>
    <row r="14" spans="1:9" x14ac:dyDescent="0.3">
      <c r="A14" s="1" t="str">
        <f>'[1]building count_area_volume'!A69</f>
        <v>ind</v>
      </c>
      <c r="B14" s="92">
        <v>639.04451361098756</v>
      </c>
      <c r="C14" s="92">
        <v>193.20890487969419</v>
      </c>
      <c r="D14" s="93"/>
      <c r="E14" s="93">
        <v>17.281830752632619</v>
      </c>
      <c r="F14" s="93">
        <v>1017.0549212929649</v>
      </c>
      <c r="G14" s="93"/>
      <c r="H14" s="106">
        <v>1866.5901705362792</v>
      </c>
      <c r="I14" s="3"/>
    </row>
    <row r="15" spans="1:9" x14ac:dyDescent="0.3">
      <c r="A15" s="1" t="str">
        <f>'[1]building count_area_volume'!A70</f>
        <v>inf</v>
      </c>
      <c r="B15" s="92">
        <v>8.937685505048778</v>
      </c>
      <c r="C15" s="92">
        <v>57.962671463908258</v>
      </c>
      <c r="D15" s="93"/>
      <c r="E15" s="93">
        <v>28.803051254387697</v>
      </c>
      <c r="F15" s="93">
        <v>17.045613206027344</v>
      </c>
      <c r="G15" s="93"/>
      <c r="H15" s="106">
        <v>112.74902142937208</v>
      </c>
      <c r="I15" s="3"/>
    </row>
    <row r="16" spans="1:9" ht="15" thickBot="1" x14ac:dyDescent="0.35">
      <c r="A16" s="1" t="str">
        <f>'[1]building count_area_volume'!A71</f>
        <v>mix</v>
      </c>
      <c r="B16" s="92">
        <v>4.468842752524389</v>
      </c>
      <c r="C16" s="92"/>
      <c r="D16" s="93"/>
      <c r="E16" s="93">
        <v>34.563661505265237</v>
      </c>
      <c r="F16" s="93">
        <v>51.136839618082028</v>
      </c>
      <c r="G16" s="93"/>
      <c r="H16" s="91">
        <v>90.169343875871647</v>
      </c>
      <c r="I16" s="3"/>
    </row>
    <row r="17" spans="1:14" ht="15" thickBot="1" x14ac:dyDescent="0.35">
      <c r="A17" s="2" t="str">
        <f>'[1]building count_area_volume'!A72</f>
        <v>TOTAL MRP</v>
      </c>
      <c r="B17" s="103">
        <v>1649.0029756814995</v>
      </c>
      <c r="C17" s="100">
        <v>1193.0649876321118</v>
      </c>
      <c r="D17" s="100">
        <v>54.599838318512532</v>
      </c>
      <c r="E17" s="100">
        <v>368.67905605616255</v>
      </c>
      <c r="F17" s="100">
        <v>3017.0735374668398</v>
      </c>
      <c r="G17" s="100">
        <v>5.4312730627306278</v>
      </c>
      <c r="H17" s="89">
        <f>SUM(H13:H16)</f>
        <v>6287.851668217857</v>
      </c>
      <c r="I17" s="3"/>
      <c r="M17" s="8"/>
      <c r="N17" s="8"/>
    </row>
    <row r="18" spans="1:14" ht="15" thickBot="1" x14ac:dyDescent="0.35">
      <c r="A18" s="14" t="str">
        <f>'[1]building count_area_volume'!A73</f>
        <v>AREA SQ MI</v>
      </c>
      <c r="B18" s="104">
        <v>742.93281250000007</v>
      </c>
      <c r="C18" s="102">
        <v>743.25625000000002</v>
      </c>
      <c r="D18" s="102">
        <v>30.053125000000001</v>
      </c>
      <c r="E18" s="102">
        <v>452.61406250000005</v>
      </c>
      <c r="F18" s="102">
        <v>1296.7062500000002</v>
      </c>
      <c r="G18" s="102">
        <v>32.703125</v>
      </c>
      <c r="H18" s="90">
        <f>SUM(B18:G18)</f>
        <v>3298.265625</v>
      </c>
      <c r="I18" s="4"/>
      <c r="M18" s="8"/>
      <c r="N18" s="8"/>
    </row>
    <row r="19" spans="1:14" ht="15" thickBot="1" x14ac:dyDescent="0.35">
      <c r="A19" s="2" t="str">
        <f>'[1]building count_area_volume'!A74</f>
        <v>COUNT/SQ MI</v>
      </c>
      <c r="B19" s="105">
        <v>2.2195856044270483</v>
      </c>
      <c r="C19" s="101">
        <v>1.6051866198664482</v>
      </c>
      <c r="D19" s="101">
        <v>1.8167774006367901</v>
      </c>
      <c r="E19" s="101">
        <v>0.81455501850688194</v>
      </c>
      <c r="F19" s="101">
        <v>2.3267209034172844</v>
      </c>
      <c r="G19" s="101">
        <v>0.16607810607489737</v>
      </c>
      <c r="H19" s="91">
        <f>SUM(B19:G19)</f>
        <v>8.9489036529293493</v>
      </c>
      <c r="I19" s="3"/>
    </row>
    <row r="21" spans="1:14" x14ac:dyDescent="0.3">
      <c r="A21" s="9" t="s">
        <v>131</v>
      </c>
      <c r="B21" s="24"/>
    </row>
    <row r="22" spans="1:14" s="111" customFormat="1" ht="15" thickBot="1" x14ac:dyDescent="0.35">
      <c r="A22" s="110" t="s">
        <v>136</v>
      </c>
      <c r="B22" s="114" t="s">
        <v>137</v>
      </c>
      <c r="C22" s="31"/>
      <c r="D22" s="31"/>
      <c r="E22" s="31"/>
      <c r="F22" s="31"/>
      <c r="G22" s="31"/>
      <c r="H22" s="31"/>
    </row>
    <row r="23" spans="1:14" ht="15" thickBot="1" x14ac:dyDescent="0.35">
      <c r="A23" s="7" t="str">
        <f t="shared" ref="A23:G23" si="0">A12</f>
        <v>LULC</v>
      </c>
      <c r="B23" s="18" t="str">
        <f t="shared" si="0"/>
        <v>ALAMEDA</v>
      </c>
      <c r="C23" s="18" t="str">
        <f t="shared" si="0"/>
        <v>CONTRA</v>
      </c>
      <c r="D23" s="18" t="str">
        <f t="shared" si="0"/>
        <v>FAIRFIELD</v>
      </c>
      <c r="E23" s="18" t="str">
        <f t="shared" si="0"/>
        <v>SANMATEO</v>
      </c>
      <c r="F23" s="18" t="str">
        <f t="shared" si="0"/>
        <v>SANTACLARA</v>
      </c>
      <c r="G23" s="18" t="str">
        <f t="shared" si="0"/>
        <v>VALLEJO</v>
      </c>
      <c r="H23" s="25"/>
    </row>
    <row r="24" spans="1:14" x14ac:dyDescent="0.3">
      <c r="A24" s="1" t="s">
        <v>53</v>
      </c>
      <c r="B24" s="17">
        <f>B4/B13*43560</f>
        <v>25256.986547085202</v>
      </c>
      <c r="C24" s="17">
        <f t="shared" ref="C24:G24" si="1">C4/C13*43560</f>
        <v>21333.23076923077</v>
      </c>
      <c r="D24" s="17">
        <f t="shared" si="1"/>
        <v>10335.6</v>
      </c>
      <c r="E24" s="17">
        <f t="shared" si="1"/>
        <v>17903.16</v>
      </c>
      <c r="F24" s="17">
        <f t="shared" si="1"/>
        <v>22068.264705882353</v>
      </c>
      <c r="G24" s="17">
        <f t="shared" si="1"/>
        <v>21054</v>
      </c>
      <c r="H24" s="26"/>
    </row>
    <row r="25" spans="1:14" x14ac:dyDescent="0.3">
      <c r="A25" s="1" t="s">
        <v>5</v>
      </c>
      <c r="B25" s="17">
        <f>B5/B14*43560</f>
        <v>30488.95384615385</v>
      </c>
      <c r="C25" s="17">
        <f>C5/C14*43560</f>
        <v>31145.399999999998</v>
      </c>
      <c r="E25" s="17">
        <f t="shared" ref="E25:F27" si="2">E5/E14*43560</f>
        <v>28749.599999999995</v>
      </c>
      <c r="F25" s="17">
        <f t="shared" si="2"/>
        <v>33273.512849162005</v>
      </c>
      <c r="H25" s="26"/>
    </row>
    <row r="26" spans="1:14" x14ac:dyDescent="0.3">
      <c r="A26" s="1" t="s">
        <v>40</v>
      </c>
      <c r="B26" s="17">
        <f>B6/B15*43560</f>
        <v>89515.8</v>
      </c>
      <c r="C26" s="17">
        <f>C6/C15*43560</f>
        <v>20836.2</v>
      </c>
      <c r="E26" s="17">
        <f t="shared" si="2"/>
        <v>6011.28</v>
      </c>
      <c r="F26" s="17">
        <f t="shared" si="2"/>
        <v>30637.200000000001</v>
      </c>
      <c r="H26" s="26"/>
    </row>
    <row r="27" spans="1:14" ht="15" thickBot="1" x14ac:dyDescent="0.35">
      <c r="A27" s="1" t="s">
        <v>41</v>
      </c>
      <c r="B27" s="17">
        <f>B7/B16*43560</f>
        <v>5662.8</v>
      </c>
      <c r="E27" s="17">
        <f t="shared" si="2"/>
        <v>13721.399999999998</v>
      </c>
      <c r="F27" s="17">
        <f t="shared" si="2"/>
        <v>31992.400000000001</v>
      </c>
      <c r="H27" s="26"/>
    </row>
    <row r="28" spans="1:14" x14ac:dyDescent="0.3">
      <c r="A28" s="6"/>
      <c r="B28" s="21"/>
      <c r="C28" s="21"/>
      <c r="D28" s="21"/>
      <c r="E28" s="21"/>
      <c r="F28" s="21"/>
      <c r="G28" s="21"/>
      <c r="H28" s="27"/>
    </row>
    <row r="29" spans="1:14" s="8" customFormat="1" x14ac:dyDescent="0.3">
      <c r="A29" s="9" t="s">
        <v>117</v>
      </c>
      <c r="B29" s="24"/>
      <c r="C29" s="24"/>
      <c r="D29" s="24"/>
      <c r="E29" s="24"/>
      <c r="F29" s="24"/>
      <c r="G29" s="24"/>
      <c r="H29" s="24"/>
    </row>
    <row r="30" spans="1:14" s="120" customFormat="1" x14ac:dyDescent="0.3">
      <c r="A30" s="110" t="s">
        <v>138</v>
      </c>
      <c r="B30" s="119">
        <v>0.22</v>
      </c>
      <c r="C30" s="114" t="s">
        <v>139</v>
      </c>
      <c r="D30" s="113"/>
      <c r="E30" s="119"/>
      <c r="F30" s="113"/>
      <c r="G30" s="113"/>
      <c r="H30" s="113"/>
    </row>
    <row r="31" spans="1:14" s="120" customFormat="1" ht="15" thickBot="1" x14ac:dyDescent="0.35">
      <c r="A31" s="110" t="s">
        <v>140</v>
      </c>
      <c r="B31" s="114" t="s">
        <v>141</v>
      </c>
      <c r="C31" s="113"/>
      <c r="D31" s="113"/>
      <c r="E31" s="119"/>
      <c r="F31" s="113"/>
      <c r="G31" s="113"/>
      <c r="H31" s="113"/>
    </row>
    <row r="32" spans="1:14" ht="15" thickBot="1" x14ac:dyDescent="0.35">
      <c r="A32" s="33" t="str">
        <f t="shared" ref="A32:H32" si="3">A12</f>
        <v>LULC</v>
      </c>
      <c r="B32" s="34" t="str">
        <f t="shared" si="3"/>
        <v>ALAMEDA</v>
      </c>
      <c r="C32" s="34" t="str">
        <f t="shared" si="3"/>
        <v>CONTRA</v>
      </c>
      <c r="D32" s="34" t="str">
        <f t="shared" si="3"/>
        <v>FAIRFIELD</v>
      </c>
      <c r="E32" s="34" t="str">
        <f t="shared" si="3"/>
        <v>SANMATEO</v>
      </c>
      <c r="F32" s="34" t="str">
        <f t="shared" si="3"/>
        <v>SANTACLARA</v>
      </c>
      <c r="G32" s="34" t="str">
        <f t="shared" si="3"/>
        <v>VALLEJO</v>
      </c>
      <c r="H32" s="35" t="str">
        <f t="shared" si="3"/>
        <v>TOTAL LU</v>
      </c>
    </row>
    <row r="33" spans="1:8" x14ac:dyDescent="0.3">
      <c r="A33" s="14" t="s">
        <v>53</v>
      </c>
      <c r="B33" s="24">
        <f>B13*$B$30</f>
        <v>219.24142543884653</v>
      </c>
      <c r="C33" s="24">
        <f t="shared" ref="B33:G36" si="4">C13*$B$30</f>
        <v>207.21655048347205</v>
      </c>
      <c r="D33" s="24">
        <f t="shared" si="4"/>
        <v>12.011964430072757</v>
      </c>
      <c r="E33" s="24">
        <f t="shared" si="4"/>
        <v>63.366712759652934</v>
      </c>
      <c r="F33" s="24">
        <f t="shared" si="4"/>
        <v>425.00395593694844</v>
      </c>
      <c r="G33" s="24">
        <f t="shared" si="4"/>
        <v>1.1948800738007381</v>
      </c>
      <c r="H33" s="36">
        <f>SUM(B33:G33)</f>
        <v>928.03548912279348</v>
      </c>
    </row>
    <row r="34" spans="1:8" x14ac:dyDescent="0.3">
      <c r="A34" s="14" t="s">
        <v>5</v>
      </c>
      <c r="B34" s="24">
        <f t="shared" si="4"/>
        <v>140.58979299441725</v>
      </c>
      <c r="C34" s="24">
        <f t="shared" si="4"/>
        <v>42.505959073532722</v>
      </c>
      <c r="D34" s="24">
        <f t="shared" si="4"/>
        <v>0</v>
      </c>
      <c r="E34" s="24">
        <f t="shared" si="4"/>
        <v>3.8020027655791759</v>
      </c>
      <c r="F34" s="24">
        <f t="shared" si="4"/>
        <v>223.75208268445226</v>
      </c>
      <c r="G34" s="24">
        <f t="shared" si="4"/>
        <v>0</v>
      </c>
      <c r="H34" s="36">
        <f>SUM(B34:G34)</f>
        <v>410.64983751798138</v>
      </c>
    </row>
    <row r="35" spans="1:8" x14ac:dyDescent="0.3">
      <c r="A35" s="14" t="s">
        <v>40</v>
      </c>
      <c r="B35" s="24">
        <f t="shared" si="4"/>
        <v>1.9662908111107311</v>
      </c>
      <c r="C35" s="24">
        <f t="shared" si="4"/>
        <v>12.751787722059817</v>
      </c>
      <c r="D35" s="24">
        <f t="shared" si="4"/>
        <v>0</v>
      </c>
      <c r="E35" s="24">
        <f t="shared" si="4"/>
        <v>6.3366712759652932</v>
      </c>
      <c r="F35" s="24">
        <f t="shared" si="4"/>
        <v>3.7500349053260158</v>
      </c>
      <c r="G35" s="24">
        <f t="shared" si="4"/>
        <v>0</v>
      </c>
      <c r="H35" s="36">
        <f>SUM(B35:G35)</f>
        <v>24.804784714461857</v>
      </c>
    </row>
    <row r="36" spans="1:8" ht="15" thickBot="1" x14ac:dyDescent="0.35">
      <c r="A36" s="14" t="s">
        <v>41</v>
      </c>
      <c r="B36" s="24">
        <f t="shared" si="4"/>
        <v>0.98314540555536556</v>
      </c>
      <c r="C36" s="24">
        <f t="shared" si="4"/>
        <v>0</v>
      </c>
      <c r="D36" s="24">
        <f t="shared" si="4"/>
        <v>0</v>
      </c>
      <c r="E36" s="24">
        <f t="shared" si="4"/>
        <v>7.6040055311583519</v>
      </c>
      <c r="F36" s="24">
        <f t="shared" si="4"/>
        <v>11.250104715978047</v>
      </c>
      <c r="G36" s="24">
        <f t="shared" si="4"/>
        <v>0</v>
      </c>
      <c r="H36" s="36">
        <f>SUM(B36:G36)</f>
        <v>19.837255652691766</v>
      </c>
    </row>
    <row r="37" spans="1:8" ht="15" thickBot="1" x14ac:dyDescent="0.35">
      <c r="A37" s="5" t="s">
        <v>76</v>
      </c>
      <c r="B37" s="37">
        <f t="shared" ref="B37:G37" si="5">SUM(B33:B36)</f>
        <v>362.78065464992989</v>
      </c>
      <c r="C37" s="37">
        <f t="shared" si="5"/>
        <v>262.47429727906456</v>
      </c>
      <c r="D37" s="37">
        <f t="shared" si="5"/>
        <v>12.011964430072757</v>
      </c>
      <c r="E37" s="37">
        <f t="shared" si="5"/>
        <v>81.109392332355753</v>
      </c>
      <c r="F37" s="37">
        <f t="shared" si="5"/>
        <v>663.75617824270478</v>
      </c>
      <c r="G37" s="37">
        <f t="shared" si="5"/>
        <v>1.1948800738007381</v>
      </c>
      <c r="H37" s="39">
        <f>SUM(B37:G37)</f>
        <v>1383.3273670079286</v>
      </c>
    </row>
    <row r="38" spans="1:8" ht="15" thickBot="1" x14ac:dyDescent="0.35">
      <c r="A38" s="14" t="s">
        <v>28</v>
      </c>
      <c r="B38" s="24">
        <f t="shared" ref="B38:G38" si="6">B18</f>
        <v>742.93281250000007</v>
      </c>
      <c r="C38" s="24">
        <f t="shared" si="6"/>
        <v>743.25625000000002</v>
      </c>
      <c r="D38" s="24">
        <f t="shared" si="6"/>
        <v>30.053125000000001</v>
      </c>
      <c r="E38" s="24">
        <f t="shared" si="6"/>
        <v>452.61406250000005</v>
      </c>
      <c r="F38" s="24">
        <f t="shared" si="6"/>
        <v>1296.7062500000002</v>
      </c>
      <c r="G38" s="24">
        <f t="shared" si="6"/>
        <v>32.703125</v>
      </c>
      <c r="H38" s="38"/>
    </row>
    <row r="39" spans="1:8" ht="15" thickBot="1" x14ac:dyDescent="0.35">
      <c r="A39" s="5" t="s">
        <v>77</v>
      </c>
      <c r="B39" s="44">
        <f t="shared" ref="B39:G39" si="7">B37/B38</f>
        <v>0.48830883297395061</v>
      </c>
      <c r="C39" s="44">
        <f t="shared" si="7"/>
        <v>0.35314105637061854</v>
      </c>
      <c r="D39" s="44">
        <f t="shared" si="7"/>
        <v>0.39969102814009377</v>
      </c>
      <c r="E39" s="44">
        <f t="shared" si="7"/>
        <v>0.17920210407151402</v>
      </c>
      <c r="F39" s="44">
        <f t="shared" si="7"/>
        <v>0.51187859875180264</v>
      </c>
      <c r="G39" s="44">
        <f t="shared" si="7"/>
        <v>3.6537183336477423E-2</v>
      </c>
      <c r="H39" s="38"/>
    </row>
    <row r="41" spans="1:8" s="8" customFormat="1" x14ac:dyDescent="0.3">
      <c r="A41" s="9" t="s">
        <v>100</v>
      </c>
      <c r="B41" s="24"/>
      <c r="C41" s="24"/>
      <c r="D41" s="24"/>
      <c r="E41" s="24"/>
      <c r="F41" s="24"/>
      <c r="G41" s="24"/>
      <c r="H41" s="24"/>
    </row>
    <row r="42" spans="1:8" s="120" customFormat="1" x14ac:dyDescent="0.3">
      <c r="A42" s="110" t="s">
        <v>138</v>
      </c>
      <c r="B42" s="121">
        <v>1.46</v>
      </c>
      <c r="C42" s="114" t="s">
        <v>61</v>
      </c>
      <c r="D42" s="113"/>
      <c r="E42" s="113"/>
      <c r="F42" s="113"/>
      <c r="G42" s="113"/>
      <c r="H42" s="113"/>
    </row>
    <row r="43" spans="1:8" s="120" customFormat="1" x14ac:dyDescent="0.3">
      <c r="A43" s="110" t="s">
        <v>140</v>
      </c>
      <c r="B43" s="114" t="s">
        <v>62</v>
      </c>
      <c r="C43" s="113"/>
      <c r="D43" s="113"/>
      <c r="E43" s="113"/>
      <c r="F43" s="113"/>
      <c r="G43" s="113"/>
      <c r="H43" s="113"/>
    </row>
    <row r="44" spans="1:8" s="120" customFormat="1" x14ac:dyDescent="0.3">
      <c r="A44" s="110"/>
      <c r="B44" s="113"/>
      <c r="C44" s="113"/>
      <c r="D44" s="113"/>
      <c r="E44" s="113"/>
      <c r="F44" s="113"/>
      <c r="G44" s="113"/>
      <c r="H44" s="113"/>
    </row>
    <row r="45" spans="1:8" s="120" customFormat="1" x14ac:dyDescent="0.3">
      <c r="A45" s="110" t="s">
        <v>138</v>
      </c>
      <c r="B45" s="122">
        <v>10.3</v>
      </c>
      <c r="C45" s="114" t="s">
        <v>63</v>
      </c>
      <c r="D45" s="113"/>
      <c r="E45" s="113"/>
      <c r="F45" s="113"/>
      <c r="G45" s="113"/>
      <c r="H45" s="113"/>
    </row>
    <row r="46" spans="1:8" s="120" customFormat="1" ht="15" thickBot="1" x14ac:dyDescent="0.35">
      <c r="A46" s="9" t="s">
        <v>116</v>
      </c>
      <c r="B46" s="116" t="s">
        <v>57</v>
      </c>
      <c r="C46" s="113"/>
      <c r="D46" s="113"/>
      <c r="E46" s="113"/>
      <c r="F46" s="113"/>
      <c r="G46" s="113"/>
      <c r="H46" s="113"/>
    </row>
    <row r="47" spans="1:8" ht="15" thickBot="1" x14ac:dyDescent="0.35">
      <c r="A47" s="7" t="str">
        <f t="shared" ref="A47:H47" si="8">A32</f>
        <v>LULC</v>
      </c>
      <c r="B47" s="18" t="str">
        <f t="shared" si="8"/>
        <v>ALAMEDA</v>
      </c>
      <c r="C47" s="18" t="str">
        <f t="shared" si="8"/>
        <v>CONTRA</v>
      </c>
      <c r="D47" s="18" t="str">
        <f t="shared" si="8"/>
        <v>FAIRFIELD</v>
      </c>
      <c r="E47" s="18" t="str">
        <f t="shared" si="8"/>
        <v>SANMATEO</v>
      </c>
      <c r="F47" s="18" t="str">
        <f t="shared" si="8"/>
        <v>SANTACLARA</v>
      </c>
      <c r="G47" s="18" t="str">
        <f t="shared" si="8"/>
        <v>VALLEJO</v>
      </c>
      <c r="H47" s="19" t="str">
        <f t="shared" si="8"/>
        <v>TOTAL LU</v>
      </c>
    </row>
    <row r="48" spans="1:8" x14ac:dyDescent="0.3">
      <c r="A48" s="1" t="s">
        <v>53</v>
      </c>
      <c r="B48" s="17">
        <f>B33*B24*$B$42*$B$45</f>
        <v>83271086.346940115</v>
      </c>
      <c r="C48" s="56">
        <f t="shared" ref="B48:G51" si="9">C33*C24*$B$42*$B$45</f>
        <v>66476960.102663375</v>
      </c>
      <c r="D48" s="56">
        <f t="shared" si="9"/>
        <v>1866980.6261153114</v>
      </c>
      <c r="E48" s="56">
        <f t="shared" si="9"/>
        <v>17060075.605245605</v>
      </c>
      <c r="F48" s="56">
        <f t="shared" si="9"/>
        <v>141042902.80238131</v>
      </c>
      <c r="G48" s="56">
        <f t="shared" si="9"/>
        <v>378311.04229981557</v>
      </c>
      <c r="H48" s="20">
        <f>SUM(B48:G48)</f>
        <v>310096316.52564555</v>
      </c>
    </row>
    <row r="49" spans="1:8" x14ac:dyDescent="0.3">
      <c r="A49" s="1" t="s">
        <v>5</v>
      </c>
      <c r="B49" s="56">
        <f t="shared" si="9"/>
        <v>64459420.20468086</v>
      </c>
      <c r="C49" s="56">
        <f t="shared" si="9"/>
        <v>19908283.339645784</v>
      </c>
      <c r="D49" s="56">
        <f t="shared" si="9"/>
        <v>0</v>
      </c>
      <c r="E49" s="56">
        <f t="shared" si="9"/>
        <v>1643744.5108703792</v>
      </c>
      <c r="F49" s="56">
        <f t="shared" si="9"/>
        <v>111958177.64975089</v>
      </c>
      <c r="G49" s="56">
        <f t="shared" si="9"/>
        <v>0</v>
      </c>
      <c r="H49" s="20">
        <f>SUM(B49:G49)</f>
        <v>197969625.70494792</v>
      </c>
    </row>
    <row r="50" spans="1:8" x14ac:dyDescent="0.3">
      <c r="A50" s="1" t="s">
        <v>40</v>
      </c>
      <c r="B50" s="56">
        <f t="shared" si="9"/>
        <v>2646899.9604479806</v>
      </c>
      <c r="C50" s="56">
        <f t="shared" si="9"/>
        <v>3995578.5443904479</v>
      </c>
      <c r="D50" s="56">
        <f t="shared" si="9"/>
        <v>0</v>
      </c>
      <c r="E50" s="56">
        <f t="shared" si="9"/>
        <v>572820.05681846547</v>
      </c>
      <c r="F50" s="56">
        <f t="shared" si="9"/>
        <v>1727724.3826590686</v>
      </c>
      <c r="G50" s="56">
        <f t="shared" si="9"/>
        <v>0</v>
      </c>
      <c r="H50" s="20">
        <f>SUM(B50:G50)</f>
        <v>8943022.9443159625</v>
      </c>
    </row>
    <row r="51" spans="1:8" ht="15" thickBot="1" x14ac:dyDescent="0.35">
      <c r="A51" s="1" t="s">
        <v>41</v>
      </c>
      <c r="B51" s="56">
        <f t="shared" si="9"/>
        <v>83721.896559181871</v>
      </c>
      <c r="C51" s="56">
        <f t="shared" si="9"/>
        <v>0</v>
      </c>
      <c r="D51" s="56">
        <f t="shared" si="9"/>
        <v>0</v>
      </c>
      <c r="E51" s="56">
        <f t="shared" si="9"/>
        <v>1569028.8512853619</v>
      </c>
      <c r="F51" s="56">
        <f t="shared" si="9"/>
        <v>5412444.6300362293</v>
      </c>
      <c r="G51" s="56">
        <f t="shared" si="9"/>
        <v>0</v>
      </c>
      <c r="H51" s="20">
        <f>SUM(B51:G51)</f>
        <v>7065195.3778807726</v>
      </c>
    </row>
    <row r="52" spans="1:8" ht="15" thickBot="1" x14ac:dyDescent="0.35">
      <c r="A52" s="2" t="s">
        <v>76</v>
      </c>
      <c r="B52" s="23">
        <f t="shared" ref="B52:G52" si="10">SUM(B48:B51)</f>
        <v>150461128.40862811</v>
      </c>
      <c r="C52" s="23">
        <f t="shared" si="10"/>
        <v>90380821.986699611</v>
      </c>
      <c r="D52" s="23">
        <f t="shared" si="10"/>
        <v>1866980.6261153114</v>
      </c>
      <c r="E52" s="23">
        <f t="shared" si="10"/>
        <v>20845669.024219811</v>
      </c>
      <c r="F52" s="23">
        <f t="shared" si="10"/>
        <v>260141249.46482751</v>
      </c>
      <c r="G52" s="23">
        <f t="shared" si="10"/>
        <v>378311.04229981557</v>
      </c>
      <c r="H52" s="28">
        <f>SUM(B52:G52)</f>
        <v>524074160.55279016</v>
      </c>
    </row>
    <row r="54" spans="1:8" ht="15" thickBot="1" x14ac:dyDescent="0.35">
      <c r="A54" s="9" t="s">
        <v>101</v>
      </c>
    </row>
    <row r="55" spans="1:8" ht="15" thickBot="1" x14ac:dyDescent="0.35">
      <c r="A55" s="7" t="s">
        <v>51</v>
      </c>
      <c r="B55" s="18" t="s">
        <v>52</v>
      </c>
      <c r="C55" s="18" t="s">
        <v>42</v>
      </c>
      <c r="D55" s="18" t="s">
        <v>46</v>
      </c>
      <c r="E55" s="18" t="s">
        <v>45</v>
      </c>
      <c r="F55" s="18" t="s">
        <v>44</v>
      </c>
      <c r="G55" s="18" t="s">
        <v>43</v>
      </c>
      <c r="H55" s="19" t="s">
        <v>128</v>
      </c>
    </row>
    <row r="56" spans="1:8" x14ac:dyDescent="0.3">
      <c r="A56" s="1" t="s">
        <v>53</v>
      </c>
      <c r="B56" s="17">
        <f>B48*0.028</f>
        <v>2331590.4177143234</v>
      </c>
      <c r="C56" s="17">
        <f t="shared" ref="C56:G56" si="11">C48*0.028</f>
        <v>1861354.8828745745</v>
      </c>
      <c r="D56" s="17">
        <f t="shared" si="11"/>
        <v>52275.45753122872</v>
      </c>
      <c r="E56" s="17">
        <f t="shared" si="11"/>
        <v>477682.11694687698</v>
      </c>
      <c r="F56" s="17">
        <f t="shared" si="11"/>
        <v>3949201.2784666768</v>
      </c>
      <c r="G56" s="17">
        <f t="shared" si="11"/>
        <v>10592.709184394836</v>
      </c>
      <c r="H56" s="20">
        <f>SUM(B56:G56)</f>
        <v>8682696.8627180755</v>
      </c>
    </row>
    <row r="57" spans="1:8" x14ac:dyDescent="0.3">
      <c r="A57" s="1" t="s">
        <v>5</v>
      </c>
      <c r="B57" s="17">
        <f>B49*0.028</f>
        <v>1804863.7657310641</v>
      </c>
      <c r="C57" s="17">
        <f t="shared" ref="B57:G59" si="12">C49*0.028</f>
        <v>557431.93351008196</v>
      </c>
      <c r="D57" s="17">
        <f t="shared" si="12"/>
        <v>0</v>
      </c>
      <c r="E57" s="17">
        <f t="shared" si="12"/>
        <v>46024.846304370614</v>
      </c>
      <c r="F57" s="17">
        <f t="shared" si="12"/>
        <v>3134828.9741930249</v>
      </c>
      <c r="G57" s="17">
        <f t="shared" si="12"/>
        <v>0</v>
      </c>
      <c r="H57" s="20">
        <f>SUM(B57:G57)</f>
        <v>5543149.5197385419</v>
      </c>
    </row>
    <row r="58" spans="1:8" x14ac:dyDescent="0.3">
      <c r="A58" s="1" t="s">
        <v>40</v>
      </c>
      <c r="B58" s="17">
        <f t="shared" si="12"/>
        <v>74113.198892543456</v>
      </c>
      <c r="C58" s="17">
        <f t="shared" si="12"/>
        <v>111876.19924293255</v>
      </c>
      <c r="D58" s="17">
        <f t="shared" si="12"/>
        <v>0</v>
      </c>
      <c r="E58" s="17">
        <f t="shared" si="12"/>
        <v>16038.961590917033</v>
      </c>
      <c r="F58" s="17">
        <f t="shared" si="12"/>
        <v>48376.282714453919</v>
      </c>
      <c r="G58" s="17">
        <f t="shared" si="12"/>
        <v>0</v>
      </c>
      <c r="H58" s="20">
        <f>SUM(B58:G58)</f>
        <v>250404.64244084695</v>
      </c>
    </row>
    <row r="59" spans="1:8" ht="15" thickBot="1" x14ac:dyDescent="0.35">
      <c r="A59" s="1" t="s">
        <v>41</v>
      </c>
      <c r="B59" s="17">
        <f t="shared" si="12"/>
        <v>2344.2131036570922</v>
      </c>
      <c r="C59" s="17">
        <f t="shared" si="12"/>
        <v>0</v>
      </c>
      <c r="D59" s="17">
        <f t="shared" si="12"/>
        <v>0</v>
      </c>
      <c r="E59" s="17">
        <f t="shared" si="12"/>
        <v>43932.807835990134</v>
      </c>
      <c r="F59" s="17">
        <f>F51*0.028</f>
        <v>151548.44964101442</v>
      </c>
      <c r="G59" s="17">
        <f t="shared" si="12"/>
        <v>0</v>
      </c>
      <c r="H59" s="20">
        <f>SUM(B59:G59)</f>
        <v>197825.47058066164</v>
      </c>
    </row>
    <row r="60" spans="1:8" ht="15" thickBot="1" x14ac:dyDescent="0.35">
      <c r="A60" s="2" t="s">
        <v>76</v>
      </c>
      <c r="B60" s="23">
        <f t="shared" ref="B60:G60" si="13">SUM(B56:B59)</f>
        <v>4212911.5954415873</v>
      </c>
      <c r="C60" s="23">
        <f t="shared" si="13"/>
        <v>2530663.0156275891</v>
      </c>
      <c r="D60" s="23">
        <f t="shared" si="13"/>
        <v>52275.45753122872</v>
      </c>
      <c r="E60" s="23">
        <f t="shared" si="13"/>
        <v>583678.73267815472</v>
      </c>
      <c r="F60" s="23">
        <f t="shared" si="13"/>
        <v>7283954.9850151697</v>
      </c>
      <c r="G60" s="23">
        <f t="shared" si="13"/>
        <v>10592.709184394836</v>
      </c>
      <c r="H60" s="28">
        <f>SUM(B60:G60)</f>
        <v>14674076.495478125</v>
      </c>
    </row>
    <row r="62" spans="1:8" s="8" customFormat="1" x14ac:dyDescent="0.3">
      <c r="A62" s="9" t="s">
        <v>99</v>
      </c>
      <c r="B62" s="24"/>
      <c r="C62" s="24"/>
      <c r="D62" s="24"/>
      <c r="E62" s="24"/>
      <c r="F62" s="24"/>
      <c r="G62" s="24"/>
      <c r="H62" s="24"/>
    </row>
    <row r="63" spans="1:8" s="120" customFormat="1" x14ac:dyDescent="0.3">
      <c r="A63" s="110" t="s">
        <v>110</v>
      </c>
      <c r="B63" s="123">
        <v>55</v>
      </c>
      <c r="C63" s="114" t="s">
        <v>98</v>
      </c>
      <c r="D63" s="113"/>
      <c r="E63" s="113"/>
      <c r="F63" s="113"/>
      <c r="G63" s="113"/>
      <c r="H63" s="113"/>
    </row>
    <row r="64" spans="1:8" s="120" customFormat="1" ht="15" thickBot="1" x14ac:dyDescent="0.35">
      <c r="A64" s="110" t="s">
        <v>108</v>
      </c>
      <c r="B64" s="114" t="s">
        <v>109</v>
      </c>
      <c r="C64" s="113"/>
      <c r="D64" s="113"/>
      <c r="E64" s="113"/>
      <c r="F64" s="113"/>
      <c r="G64" s="113"/>
      <c r="H64" s="113"/>
    </row>
    <row r="65" spans="1:8" ht="15" thickBot="1" x14ac:dyDescent="0.35">
      <c r="A65" s="7" t="s">
        <v>51</v>
      </c>
      <c r="B65" s="18" t="s">
        <v>52</v>
      </c>
      <c r="C65" s="18" t="s">
        <v>42</v>
      </c>
      <c r="D65" s="18" t="s">
        <v>46</v>
      </c>
      <c r="E65" s="18" t="s">
        <v>45</v>
      </c>
      <c r="F65" s="18" t="s">
        <v>44</v>
      </c>
      <c r="G65" s="18" t="s">
        <v>43</v>
      </c>
      <c r="H65" s="19" t="s">
        <v>128</v>
      </c>
    </row>
    <row r="66" spans="1:8" x14ac:dyDescent="0.3">
      <c r="A66" s="1" t="s">
        <v>53</v>
      </c>
      <c r="B66" s="17">
        <f>B56*$B$63</f>
        <v>128237472.97428779</v>
      </c>
      <c r="C66" s="56">
        <f t="shared" ref="C66:G66" si="14">C56*$B$63</f>
        <v>102374518.55810159</v>
      </c>
      <c r="D66" s="56">
        <f t="shared" si="14"/>
        <v>2875150.1642175796</v>
      </c>
      <c r="E66" s="56">
        <f t="shared" si="14"/>
        <v>26272516.432078235</v>
      </c>
      <c r="F66" s="56">
        <f t="shared" si="14"/>
        <v>217206070.31566721</v>
      </c>
      <c r="G66" s="56">
        <f t="shared" si="14"/>
        <v>582599.00514171598</v>
      </c>
      <c r="H66" s="20">
        <f>SUM(B66:G66)</f>
        <v>477548327.44949418</v>
      </c>
    </row>
    <row r="67" spans="1:8" x14ac:dyDescent="0.3">
      <c r="A67" s="1" t="s">
        <v>5</v>
      </c>
      <c r="B67" s="56">
        <f t="shared" ref="B67:G67" si="15">B57*$B$63</f>
        <v>99267507.115208521</v>
      </c>
      <c r="C67" s="56">
        <f t="shared" si="15"/>
        <v>30658756.343054507</v>
      </c>
      <c r="D67" s="56">
        <f t="shared" si="15"/>
        <v>0</v>
      </c>
      <c r="E67" s="56">
        <f t="shared" si="15"/>
        <v>2531366.5467403838</v>
      </c>
      <c r="F67" s="56">
        <f t="shared" si="15"/>
        <v>172415593.58061638</v>
      </c>
      <c r="G67" s="56">
        <f t="shared" si="15"/>
        <v>0</v>
      </c>
      <c r="H67" s="20">
        <f>SUM(B67:G67)</f>
        <v>304873223.58561981</v>
      </c>
    </row>
    <row r="68" spans="1:8" x14ac:dyDescent="0.3">
      <c r="A68" s="1" t="s">
        <v>40</v>
      </c>
      <c r="B68" s="56">
        <f t="shared" ref="B68:G68" si="16">B58*$B$63</f>
        <v>4076225.9390898901</v>
      </c>
      <c r="C68" s="56">
        <f t="shared" si="16"/>
        <v>6153190.9583612904</v>
      </c>
      <c r="D68" s="56">
        <f t="shared" si="16"/>
        <v>0</v>
      </c>
      <c r="E68" s="56">
        <f t="shared" si="16"/>
        <v>882142.88750043686</v>
      </c>
      <c r="F68" s="56">
        <f t="shared" si="16"/>
        <v>2660695.5492949653</v>
      </c>
      <c r="G68" s="56">
        <f t="shared" si="16"/>
        <v>0</v>
      </c>
      <c r="H68" s="20">
        <f>SUM(B68:G68)</f>
        <v>13772255.334246583</v>
      </c>
    </row>
    <row r="69" spans="1:8" ht="15" thickBot="1" x14ac:dyDescent="0.35">
      <c r="A69" s="1" t="s">
        <v>41</v>
      </c>
      <c r="B69" s="56">
        <f t="shared" ref="B69:F69" si="17">B59*$B$63</f>
        <v>128931.72070114008</v>
      </c>
      <c r="C69" s="56">
        <f t="shared" si="17"/>
        <v>0</v>
      </c>
      <c r="D69" s="56">
        <f t="shared" si="17"/>
        <v>0</v>
      </c>
      <c r="E69" s="56">
        <f t="shared" si="17"/>
        <v>2416304.4309794572</v>
      </c>
      <c r="F69" s="56">
        <f t="shared" si="17"/>
        <v>8335164.7302557928</v>
      </c>
      <c r="G69" s="56">
        <f>G59*$B$63</f>
        <v>0</v>
      </c>
      <c r="H69" s="20">
        <f>SUM(B69:G69)</f>
        <v>10880400.88193639</v>
      </c>
    </row>
    <row r="70" spans="1:8" ht="15" thickBot="1" x14ac:dyDescent="0.35">
      <c r="A70" s="2" t="s">
        <v>76</v>
      </c>
      <c r="B70" s="23">
        <f t="shared" ref="B70:G70" si="18">SUM(B66:B69)</f>
        <v>231710137.74928734</v>
      </c>
      <c r="C70" s="23">
        <f t="shared" si="18"/>
        <v>139186465.8595174</v>
      </c>
      <c r="D70" s="23">
        <f t="shared" si="18"/>
        <v>2875150.1642175796</v>
      </c>
      <c r="E70" s="23">
        <f t="shared" si="18"/>
        <v>32102330.29729851</v>
      </c>
      <c r="F70" s="23">
        <f t="shared" si="18"/>
        <v>400617524.17583436</v>
      </c>
      <c r="G70" s="23">
        <f t="shared" si="18"/>
        <v>582599.00514171598</v>
      </c>
      <c r="H70" s="28">
        <f>SUM(B70:G70)</f>
        <v>807074207.25129688</v>
      </c>
    </row>
    <row r="72" spans="1:8" s="8" customFormat="1" x14ac:dyDescent="0.3">
      <c r="A72" s="9" t="s">
        <v>105</v>
      </c>
      <c r="B72" s="24"/>
      <c r="C72" s="24"/>
      <c r="D72" s="24"/>
      <c r="E72" s="24"/>
      <c r="F72" s="24"/>
      <c r="G72" s="24"/>
      <c r="H72" s="24"/>
    </row>
    <row r="73" spans="1:8" s="120" customFormat="1" x14ac:dyDescent="0.3">
      <c r="A73" s="110" t="s">
        <v>138</v>
      </c>
      <c r="B73" s="113">
        <v>950</v>
      </c>
      <c r="C73" s="114" t="s">
        <v>64</v>
      </c>
      <c r="D73" s="113"/>
      <c r="E73" s="113"/>
      <c r="F73" s="113"/>
      <c r="G73" s="113"/>
      <c r="H73" s="113"/>
    </row>
    <row r="74" spans="1:8" s="120" customFormat="1" ht="15" thickBot="1" x14ac:dyDescent="0.35">
      <c r="A74" s="110" t="s">
        <v>140</v>
      </c>
      <c r="B74" s="114" t="s">
        <v>65</v>
      </c>
      <c r="C74" s="114"/>
      <c r="D74" s="113"/>
      <c r="E74" s="113"/>
      <c r="F74" s="113"/>
      <c r="G74" s="113"/>
      <c r="H74" s="113"/>
    </row>
    <row r="75" spans="1:8" ht="15" thickBot="1" x14ac:dyDescent="0.35">
      <c r="A75" s="33" t="s">
        <v>51</v>
      </c>
      <c r="B75" s="34" t="s">
        <v>52</v>
      </c>
      <c r="C75" s="34" t="s">
        <v>42</v>
      </c>
      <c r="D75" s="34" t="s">
        <v>46</v>
      </c>
      <c r="E75" s="34" t="s">
        <v>45</v>
      </c>
      <c r="F75" s="34" t="s">
        <v>44</v>
      </c>
      <c r="G75" s="34" t="s">
        <v>43</v>
      </c>
      <c r="H75" s="35" t="s">
        <v>128</v>
      </c>
    </row>
    <row r="76" spans="1:8" x14ac:dyDescent="0.3">
      <c r="A76" s="14" t="s">
        <v>53</v>
      </c>
      <c r="B76" s="24">
        <f>B66*$B$73/10^6</f>
        <v>121825.59932557341</v>
      </c>
      <c r="C76" s="24">
        <f t="shared" ref="C76:G76" si="19">C66*$B$73/10^6</f>
        <v>97255.79263019652</v>
      </c>
      <c r="D76" s="24">
        <f t="shared" si="19"/>
        <v>2731.3926560067007</v>
      </c>
      <c r="E76" s="24">
        <f t="shared" si="19"/>
        <v>24958.890610474322</v>
      </c>
      <c r="F76" s="24">
        <f t="shared" si="19"/>
        <v>206345.76679988386</v>
      </c>
      <c r="G76" s="24">
        <f t="shared" si="19"/>
        <v>553.46905488463017</v>
      </c>
      <c r="H76" s="36">
        <f>SUM(B76:G76)</f>
        <v>453670.91107701941</v>
      </c>
    </row>
    <row r="77" spans="1:8" x14ac:dyDescent="0.3">
      <c r="A77" s="14" t="s">
        <v>5</v>
      </c>
      <c r="B77" s="24">
        <f t="shared" ref="B77:G77" si="20">B67*$B$73/10^6</f>
        <v>94304.131759448093</v>
      </c>
      <c r="C77" s="24">
        <f t="shared" si="20"/>
        <v>29125.818525901785</v>
      </c>
      <c r="D77" s="24">
        <f t="shared" si="20"/>
        <v>0</v>
      </c>
      <c r="E77" s="24">
        <f t="shared" si="20"/>
        <v>2404.7982194033648</v>
      </c>
      <c r="F77" s="24">
        <f t="shared" si="20"/>
        <v>163794.81390158558</v>
      </c>
      <c r="G77" s="24">
        <f t="shared" si="20"/>
        <v>0</v>
      </c>
      <c r="H77" s="36">
        <f>SUM(B77:G77)</f>
        <v>289629.56240633887</v>
      </c>
    </row>
    <row r="78" spans="1:8" x14ac:dyDescent="0.3">
      <c r="A78" s="14" t="s">
        <v>40</v>
      </c>
      <c r="B78" s="24">
        <f t="shared" ref="B78:G78" si="21">B68*$B$73/10^6</f>
        <v>3872.4146421353958</v>
      </c>
      <c r="C78" s="24">
        <f t="shared" si="21"/>
        <v>5845.5314104432255</v>
      </c>
      <c r="D78" s="24">
        <f t="shared" si="21"/>
        <v>0</v>
      </c>
      <c r="E78" s="24">
        <f t="shared" si="21"/>
        <v>838.03574312541502</v>
      </c>
      <c r="F78" s="24">
        <f t="shared" si="21"/>
        <v>2527.6607718302171</v>
      </c>
      <c r="G78" s="24">
        <f t="shared" si="21"/>
        <v>0</v>
      </c>
      <c r="H78" s="36">
        <f>SUM(B78:G78)</f>
        <v>13083.642567534253</v>
      </c>
    </row>
    <row r="79" spans="1:8" ht="15" thickBot="1" x14ac:dyDescent="0.35">
      <c r="A79" s="14" t="s">
        <v>41</v>
      </c>
      <c r="B79" s="24">
        <f t="shared" ref="B79:G79" si="22">B69*$B$73/10^6</f>
        <v>122.48513466608307</v>
      </c>
      <c r="C79" s="24">
        <f t="shared" si="22"/>
        <v>0</v>
      </c>
      <c r="D79" s="24">
        <f t="shared" si="22"/>
        <v>0</v>
      </c>
      <c r="E79" s="24">
        <f t="shared" si="22"/>
        <v>2295.4892094304842</v>
      </c>
      <c r="F79" s="24">
        <f>F69*$B$73/10^6</f>
        <v>7918.406493743003</v>
      </c>
      <c r="G79" s="24">
        <f t="shared" si="22"/>
        <v>0</v>
      </c>
      <c r="H79" s="36">
        <f>SUM(B79:G79)</f>
        <v>10336.38083783957</v>
      </c>
    </row>
    <row r="80" spans="1:8" ht="15" thickBot="1" x14ac:dyDescent="0.35">
      <c r="A80" s="5" t="s">
        <v>76</v>
      </c>
      <c r="B80" s="37">
        <f t="shared" ref="B80:G80" si="23">SUM(B76:B79)</f>
        <v>220124.63086182301</v>
      </c>
      <c r="C80" s="37">
        <f t="shared" si="23"/>
        <v>132227.14256654153</v>
      </c>
      <c r="D80" s="37">
        <f t="shared" si="23"/>
        <v>2731.3926560067007</v>
      </c>
      <c r="E80" s="37">
        <f t="shared" si="23"/>
        <v>30497.213782433588</v>
      </c>
      <c r="F80" s="37">
        <f t="shared" si="23"/>
        <v>380586.64796704269</v>
      </c>
      <c r="G80" s="37">
        <f t="shared" si="23"/>
        <v>553.46905488463017</v>
      </c>
      <c r="H80" s="39">
        <f>SUM(B80:G80)</f>
        <v>766720.49688873219</v>
      </c>
    </row>
    <row r="82" spans="1:7" x14ac:dyDescent="0.3">
      <c r="A82" s="127" t="s">
        <v>48</v>
      </c>
      <c r="B82" s="127"/>
      <c r="C82" s="127"/>
      <c r="D82" s="127"/>
      <c r="E82" s="30">
        <f>H80/1000</f>
        <v>766.72049688873221</v>
      </c>
      <c r="F82" s="31"/>
      <c r="G82" s="31"/>
    </row>
    <row r="83" spans="1:7" x14ac:dyDescent="0.3">
      <c r="A83" s="32" t="s">
        <v>23</v>
      </c>
      <c r="B83" s="29"/>
      <c r="C83" s="30"/>
      <c r="D83" s="30"/>
      <c r="E83" s="43">
        <f>E82/H37</f>
        <v>0.55425817140241518</v>
      </c>
    </row>
  </sheetData>
  <mergeCells count="1">
    <mergeCell ref="A82:D82"/>
  </mergeCells>
  <phoneticPr fontId="1" type="noConversion"/>
  <pageMargins left="0.7" right="0.7" top="0.75" bottom="0.75" header="0.3" footer="0.3"/>
  <pageSetup scale="75" fitToHeight="2" orientation="landscape"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election activeCell="L19" sqref="L19"/>
    </sheetView>
  </sheetViews>
  <sheetFormatPr defaultColWidth="8.77734375" defaultRowHeight="14.4" x14ac:dyDescent="0.3"/>
  <cols>
    <col min="1" max="1" width="14.77734375" customWidth="1"/>
    <col min="2" max="2" width="11.88671875" style="56" customWidth="1"/>
    <col min="3" max="3" width="11.6640625" style="56" customWidth="1"/>
    <col min="4" max="4" width="9.109375" style="56" customWidth="1"/>
    <col min="5" max="5" width="11" style="56" customWidth="1"/>
    <col min="6" max="6" width="10.6640625" style="56" customWidth="1"/>
    <col min="7" max="7" width="9.109375" style="56" customWidth="1"/>
    <col min="8" max="8" width="12.109375" style="56" customWidth="1"/>
  </cols>
  <sheetData>
    <row r="1" spans="1:9" x14ac:dyDescent="0.3">
      <c r="A1" s="9" t="s">
        <v>56</v>
      </c>
    </row>
    <row r="2" spans="1:9" s="111" customFormat="1" ht="15" thickBot="1" x14ac:dyDescent="0.35">
      <c r="A2" s="110" t="s">
        <v>135</v>
      </c>
      <c r="B2" s="31"/>
      <c r="C2" s="31"/>
      <c r="D2" s="31"/>
      <c r="E2" s="31"/>
      <c r="F2" s="31"/>
      <c r="G2" s="31"/>
      <c r="H2" s="31"/>
    </row>
    <row r="3" spans="1:9" ht="15" thickBot="1" x14ac:dyDescent="0.35">
      <c r="A3" s="7" t="str">
        <f>'[1]building count_area_volume'!A58</f>
        <v>LULC</v>
      </c>
      <c r="B3" s="18" t="str">
        <f>'[1]building count_area_volume'!B58</f>
        <v>ALAMEDA</v>
      </c>
      <c r="C3" s="18" t="str">
        <f>'[1]building count_area_volume'!C58</f>
        <v>CONTRA</v>
      </c>
      <c r="D3" s="18" t="str">
        <f>'[1]building count_area_volume'!D58</f>
        <v>FAIRFIELD</v>
      </c>
      <c r="E3" s="18" t="str">
        <f>'[1]building count_area_volume'!E58</f>
        <v>SANMATEO</v>
      </c>
      <c r="F3" s="18" t="str">
        <f>'[1]building count_area_volume'!F58</f>
        <v>SANTACLARA</v>
      </c>
      <c r="G3" s="18" t="str">
        <f>'[1]building count_area_volume'!G58</f>
        <v>VALLEJO</v>
      </c>
      <c r="H3" s="19" t="str">
        <f>'[1]building count_area_volume'!H58</f>
        <v>TOTAL LU</v>
      </c>
    </row>
    <row r="4" spans="1:9" x14ac:dyDescent="0.3">
      <c r="A4" s="1" t="str">
        <f>'[1]building count_area_volume'!A59</f>
        <v>com</v>
      </c>
      <c r="B4" s="93">
        <v>577.82136790140351</v>
      </c>
      <c r="C4" s="93">
        <v>461.2862604002699</v>
      </c>
      <c r="D4" s="93">
        <v>12.955052546483428</v>
      </c>
      <c r="E4" s="93">
        <v>118.38054065553344</v>
      </c>
      <c r="F4" s="93">
        <v>978.70229157940332</v>
      </c>
      <c r="G4" s="98">
        <v>2.6251153136531369</v>
      </c>
      <c r="H4" s="98">
        <v>2151.7706283967468</v>
      </c>
    </row>
    <row r="5" spans="1:9" x14ac:dyDescent="0.3">
      <c r="A5" s="1" t="str">
        <f>'[1]building count_area_volume'!A60</f>
        <v>ind</v>
      </c>
      <c r="B5" s="93">
        <v>447.28647110016607</v>
      </c>
      <c r="C5" s="93">
        <v>138.14436698898135</v>
      </c>
      <c r="D5" s="93"/>
      <c r="E5" s="93">
        <v>11.406008296737527</v>
      </c>
      <c r="F5" s="93">
        <v>776.88223122003956</v>
      </c>
      <c r="G5" s="99"/>
      <c r="H5" s="99">
        <v>1373.7190776059247</v>
      </c>
    </row>
    <row r="6" spans="1:9" x14ac:dyDescent="0.3">
      <c r="A6" s="1" t="str">
        <f>'[1]building count_area_volume'!A61</f>
        <v>inf</v>
      </c>
      <c r="B6" s="93">
        <v>18.366943712875241</v>
      </c>
      <c r="C6" s="93">
        <v>27.725477850236118</v>
      </c>
      <c r="D6" s="93"/>
      <c r="E6" s="93">
        <v>3.9748210731055016</v>
      </c>
      <c r="F6" s="93">
        <v>11.988747954905898</v>
      </c>
      <c r="G6" s="99"/>
      <c r="H6" s="99">
        <v>62.055990591122757</v>
      </c>
    </row>
    <row r="7" spans="1:9" ht="15" thickBot="1" x14ac:dyDescent="0.35">
      <c r="A7" s="1" t="str">
        <f>'[1]building count_area_volume'!A62</f>
        <v>mix</v>
      </c>
      <c r="B7" s="93">
        <v>0.58094955782817059</v>
      </c>
      <c r="C7" s="93"/>
      <c r="D7" s="93"/>
      <c r="E7" s="93">
        <v>10.887553374158548</v>
      </c>
      <c r="F7" s="93">
        <v>37.557167763946914</v>
      </c>
      <c r="G7" s="96"/>
      <c r="H7" s="96">
        <v>49.025670695933634</v>
      </c>
    </row>
    <row r="8" spans="1:9" ht="15" thickBot="1" x14ac:dyDescent="0.35">
      <c r="A8" s="2" t="str">
        <f>'[1]building count_area_volume'!A63</f>
        <v>TOTAL MRP</v>
      </c>
      <c r="B8" s="104">
        <v>1044.055732272273</v>
      </c>
      <c r="C8" s="102">
        <v>627.15610523948726</v>
      </c>
      <c r="D8" s="102">
        <v>12.955052546483428</v>
      </c>
      <c r="E8" s="102">
        <v>144.64892339953502</v>
      </c>
      <c r="F8" s="102">
        <v>1805.1304385182955</v>
      </c>
      <c r="G8" s="96">
        <v>2.6251153136531369</v>
      </c>
      <c r="H8" s="97">
        <f>SUM(H4:H7)</f>
        <v>3636.5713672897277</v>
      </c>
      <c r="I8" s="11"/>
    </row>
    <row r="10" spans="1:9" x14ac:dyDescent="0.3">
      <c r="A10" s="9" t="s">
        <v>84</v>
      </c>
      <c r="B10" s="22"/>
      <c r="C10" s="22"/>
      <c r="D10" s="22"/>
    </row>
    <row r="11" spans="1:9" s="111" customFormat="1" ht="15" thickBot="1" x14ac:dyDescent="0.35">
      <c r="A11" s="110" t="s">
        <v>135</v>
      </c>
      <c r="B11" s="31"/>
      <c r="C11" s="31"/>
      <c r="D11" s="31"/>
      <c r="E11" s="31"/>
      <c r="F11" s="31"/>
      <c r="G11" s="31"/>
      <c r="H11" s="31"/>
    </row>
    <row r="12" spans="1:9" ht="15" thickBot="1" x14ac:dyDescent="0.35">
      <c r="A12" s="7" t="str">
        <f>'[1]building count_area_volume'!A67</f>
        <v>LULC</v>
      </c>
      <c r="B12" s="18" t="str">
        <f>'[1]building count_area_volume'!B67</f>
        <v>ALAMEDA</v>
      </c>
      <c r="C12" s="18" t="str">
        <f>'[1]building count_area_volume'!C67</f>
        <v>CONTRA</v>
      </c>
      <c r="D12" s="18" t="str">
        <f>'[1]building count_area_volume'!D67</f>
        <v>FAIRFIELD</v>
      </c>
      <c r="E12" s="18" t="str">
        <f>'[1]building count_area_volume'!E67</f>
        <v>SANMATEO</v>
      </c>
      <c r="F12" s="18" t="str">
        <f>'[1]building count_area_volume'!F67</f>
        <v>SANTACLARA</v>
      </c>
      <c r="G12" s="18" t="str">
        <f>'[1]building count_area_volume'!G67</f>
        <v>VALLEJO</v>
      </c>
      <c r="H12" s="19" t="str">
        <f>'[1]building count_area_volume'!H67</f>
        <v>TOTAL LU</v>
      </c>
      <c r="I12" s="10"/>
    </row>
    <row r="13" spans="1:9" x14ac:dyDescent="0.3">
      <c r="A13" s="1" t="str">
        <f>'[1]building count_area_volume'!A68</f>
        <v>com</v>
      </c>
      <c r="B13" s="92">
        <v>996.55193381293873</v>
      </c>
      <c r="C13" s="92">
        <v>941.89341128850924</v>
      </c>
      <c r="D13" s="93">
        <v>54.599838318512532</v>
      </c>
      <c r="E13" s="93">
        <v>288.03051254387697</v>
      </c>
      <c r="F13" s="93">
        <v>1931.8361633497657</v>
      </c>
      <c r="G13" s="93">
        <v>5.4312730627306278</v>
      </c>
      <c r="H13" s="89">
        <v>4218.3431323763334</v>
      </c>
      <c r="I13" s="3"/>
    </row>
    <row r="14" spans="1:9" x14ac:dyDescent="0.3">
      <c r="A14" s="1" t="str">
        <f>'[1]building count_area_volume'!A69</f>
        <v>ind</v>
      </c>
      <c r="B14" s="92">
        <v>639.04451361098756</v>
      </c>
      <c r="C14" s="92">
        <v>193.20890487969419</v>
      </c>
      <c r="D14" s="93"/>
      <c r="E14" s="93">
        <v>17.281830752632619</v>
      </c>
      <c r="F14" s="93">
        <v>1017.0549212929649</v>
      </c>
      <c r="G14" s="93"/>
      <c r="H14" s="106">
        <v>1866.5901705362792</v>
      </c>
      <c r="I14" s="3"/>
    </row>
    <row r="15" spans="1:9" x14ac:dyDescent="0.3">
      <c r="A15" s="1" t="str">
        <f>'[1]building count_area_volume'!A70</f>
        <v>inf</v>
      </c>
      <c r="B15" s="92">
        <v>8.937685505048778</v>
      </c>
      <c r="C15" s="92">
        <v>57.962671463908258</v>
      </c>
      <c r="D15" s="93"/>
      <c r="E15" s="93">
        <v>28.803051254387697</v>
      </c>
      <c r="F15" s="93">
        <v>17.045613206027344</v>
      </c>
      <c r="G15" s="93"/>
      <c r="H15" s="106">
        <v>112.74902142937208</v>
      </c>
      <c r="I15" s="3"/>
    </row>
    <row r="16" spans="1:9" ht="15" thickBot="1" x14ac:dyDescent="0.35">
      <c r="A16" s="1" t="str">
        <f>'[1]building count_area_volume'!A71</f>
        <v>mix</v>
      </c>
      <c r="B16" s="92">
        <v>4.468842752524389</v>
      </c>
      <c r="C16" s="92"/>
      <c r="D16" s="93"/>
      <c r="E16" s="93">
        <v>34.563661505265237</v>
      </c>
      <c r="F16" s="93">
        <v>51.136839618082028</v>
      </c>
      <c r="G16" s="93"/>
      <c r="H16" s="97">
        <v>90.169343875871647</v>
      </c>
      <c r="I16" s="3"/>
    </row>
    <row r="17" spans="1:14" ht="15" thickBot="1" x14ac:dyDescent="0.35">
      <c r="A17" s="2" t="str">
        <f>'[1]building count_area_volume'!A72</f>
        <v>TOTAL MRP</v>
      </c>
      <c r="B17" s="103">
        <v>1649.0029756814995</v>
      </c>
      <c r="C17" s="100">
        <v>1193.0649876321118</v>
      </c>
      <c r="D17" s="100">
        <v>54.599838318512532</v>
      </c>
      <c r="E17" s="100">
        <v>368.67905605616255</v>
      </c>
      <c r="F17" s="100">
        <v>3017.0735374668398</v>
      </c>
      <c r="G17" s="100">
        <v>5.4312730627306278</v>
      </c>
      <c r="H17" s="89">
        <f>SUM(H13:H16)</f>
        <v>6287.851668217857</v>
      </c>
      <c r="I17" s="3"/>
      <c r="M17" s="8"/>
      <c r="N17" s="8"/>
    </row>
    <row r="18" spans="1:14" ht="15" thickBot="1" x14ac:dyDescent="0.35">
      <c r="A18" s="14" t="str">
        <f>'[1]building count_area_volume'!A73</f>
        <v>AREA SQ MI</v>
      </c>
      <c r="B18" s="104">
        <v>742.93281250000007</v>
      </c>
      <c r="C18" s="102">
        <v>743.25625000000002</v>
      </c>
      <c r="D18" s="102">
        <v>30.053125000000001</v>
      </c>
      <c r="E18" s="102">
        <v>452.61406250000005</v>
      </c>
      <c r="F18" s="102">
        <v>1296.7062500000002</v>
      </c>
      <c r="G18" s="102">
        <v>32.703125</v>
      </c>
      <c r="H18" s="90">
        <f>SUM(B18:G18)</f>
        <v>3298.265625</v>
      </c>
      <c r="I18" s="4"/>
      <c r="M18" s="8"/>
      <c r="N18" s="8"/>
    </row>
    <row r="19" spans="1:14" ht="15" thickBot="1" x14ac:dyDescent="0.35">
      <c r="A19" s="2" t="str">
        <f>'[1]building count_area_volume'!A74</f>
        <v>COUNT/SQ MI</v>
      </c>
      <c r="B19" s="105">
        <v>2.2195856044270483</v>
      </c>
      <c r="C19" s="101">
        <v>1.6051866198664482</v>
      </c>
      <c r="D19" s="101">
        <v>1.8167774006367901</v>
      </c>
      <c r="E19" s="101">
        <v>0.81455501850688194</v>
      </c>
      <c r="F19" s="101">
        <v>2.3267209034172844</v>
      </c>
      <c r="G19" s="101">
        <v>0.16607810607489737</v>
      </c>
      <c r="H19" s="97">
        <f>SUM(B19:G19)</f>
        <v>8.9489036529293493</v>
      </c>
      <c r="I19" s="3"/>
    </row>
    <row r="21" spans="1:14" x14ac:dyDescent="0.3">
      <c r="A21" s="9" t="s">
        <v>131</v>
      </c>
      <c r="B21" s="24"/>
    </row>
    <row r="22" spans="1:14" s="111" customFormat="1" ht="15" thickBot="1" x14ac:dyDescent="0.35">
      <c r="A22" s="110" t="s">
        <v>136</v>
      </c>
      <c r="B22" s="114" t="s">
        <v>137</v>
      </c>
      <c r="C22" s="31"/>
      <c r="D22" s="31"/>
      <c r="E22" s="31"/>
      <c r="F22" s="31"/>
      <c r="G22" s="31"/>
      <c r="H22" s="31"/>
    </row>
    <row r="23" spans="1:14" ht="15" thickBot="1" x14ac:dyDescent="0.35">
      <c r="A23" s="7" t="str">
        <f t="shared" ref="A23:G23" si="0">A12</f>
        <v>LULC</v>
      </c>
      <c r="B23" s="18" t="str">
        <f t="shared" si="0"/>
        <v>ALAMEDA</v>
      </c>
      <c r="C23" s="18" t="str">
        <f t="shared" si="0"/>
        <v>CONTRA</v>
      </c>
      <c r="D23" s="18" t="str">
        <f t="shared" si="0"/>
        <v>FAIRFIELD</v>
      </c>
      <c r="E23" s="18" t="str">
        <f t="shared" si="0"/>
        <v>SANMATEO</v>
      </c>
      <c r="F23" s="18" t="str">
        <f t="shared" si="0"/>
        <v>SANTACLARA</v>
      </c>
      <c r="G23" s="18" t="str">
        <f t="shared" si="0"/>
        <v>VALLEJO</v>
      </c>
      <c r="H23" s="25"/>
    </row>
    <row r="24" spans="1:14" x14ac:dyDescent="0.3">
      <c r="A24" s="1" t="s">
        <v>53</v>
      </c>
      <c r="B24" s="56">
        <f>B4/B13*43560</f>
        <v>25256.986547085202</v>
      </c>
      <c r="C24" s="56">
        <f t="shared" ref="B24:G27" si="1">C4/C13*43560</f>
        <v>21333.23076923077</v>
      </c>
      <c r="D24" s="56">
        <f t="shared" si="1"/>
        <v>10335.6</v>
      </c>
      <c r="E24" s="56">
        <f t="shared" si="1"/>
        <v>17903.16</v>
      </c>
      <c r="F24" s="56">
        <f>F4/F13*43560</f>
        <v>22068.264705882353</v>
      </c>
      <c r="G24" s="56">
        <f t="shared" si="1"/>
        <v>21054</v>
      </c>
      <c r="H24" s="26"/>
    </row>
    <row r="25" spans="1:14" x14ac:dyDescent="0.3">
      <c r="A25" s="1" t="s">
        <v>5</v>
      </c>
      <c r="B25" s="56">
        <f>B5/B14*43560</f>
        <v>30488.95384615385</v>
      </c>
      <c r="C25" s="56">
        <f t="shared" si="1"/>
        <v>31145.399999999998</v>
      </c>
      <c r="E25" s="56">
        <f t="shared" si="1"/>
        <v>28749.599999999995</v>
      </c>
      <c r="F25" s="56">
        <f t="shared" si="1"/>
        <v>33273.512849162005</v>
      </c>
      <c r="H25" s="26"/>
    </row>
    <row r="26" spans="1:14" x14ac:dyDescent="0.3">
      <c r="A26" s="1" t="s">
        <v>40</v>
      </c>
      <c r="B26" s="56">
        <f t="shared" si="1"/>
        <v>89515.8</v>
      </c>
      <c r="C26" s="56">
        <f>C6/C15*43560</f>
        <v>20836.2</v>
      </c>
      <c r="E26" s="56">
        <f t="shared" si="1"/>
        <v>6011.28</v>
      </c>
      <c r="F26" s="56">
        <f t="shared" si="1"/>
        <v>30637.200000000001</v>
      </c>
      <c r="H26" s="26"/>
    </row>
    <row r="27" spans="1:14" ht="15" thickBot="1" x14ac:dyDescent="0.35">
      <c r="A27" s="1" t="s">
        <v>41</v>
      </c>
      <c r="B27" s="56">
        <f t="shared" si="1"/>
        <v>5662.8</v>
      </c>
      <c r="E27" s="56">
        <f t="shared" si="1"/>
        <v>13721.399999999998</v>
      </c>
      <c r="F27" s="56">
        <f t="shared" si="1"/>
        <v>31992.400000000001</v>
      </c>
      <c r="H27" s="26"/>
    </row>
    <row r="28" spans="1:14" x14ac:dyDescent="0.3">
      <c r="A28" s="6"/>
      <c r="B28" s="21"/>
      <c r="C28" s="21"/>
      <c r="D28" s="21"/>
      <c r="E28" s="21"/>
      <c r="F28" s="21"/>
      <c r="G28" s="21"/>
      <c r="H28" s="27"/>
    </row>
    <row r="29" spans="1:14" s="8" customFormat="1" x14ac:dyDescent="0.3">
      <c r="A29" s="9" t="s">
        <v>117</v>
      </c>
      <c r="B29" s="24"/>
      <c r="C29" s="24"/>
      <c r="D29" s="24"/>
      <c r="E29" s="24"/>
      <c r="F29" s="24"/>
      <c r="G29" s="24"/>
      <c r="H29" s="24"/>
    </row>
    <row r="30" spans="1:14" s="120" customFormat="1" x14ac:dyDescent="0.3">
      <c r="A30" s="110" t="s">
        <v>138</v>
      </c>
      <c r="B30" s="119">
        <v>0.36</v>
      </c>
      <c r="C30" s="114" t="s">
        <v>139</v>
      </c>
      <c r="D30" s="113"/>
      <c r="E30" s="119"/>
      <c r="F30" s="113"/>
      <c r="G30" s="113"/>
      <c r="H30" s="113"/>
    </row>
    <row r="31" spans="1:14" s="120" customFormat="1" ht="15" thickBot="1" x14ac:dyDescent="0.35">
      <c r="A31" s="110" t="s">
        <v>140</v>
      </c>
      <c r="B31" s="114" t="s">
        <v>66</v>
      </c>
      <c r="C31" s="113"/>
      <c r="D31" s="113"/>
      <c r="E31" s="119"/>
      <c r="F31" s="113"/>
      <c r="G31" s="113"/>
      <c r="H31" s="113"/>
    </row>
    <row r="32" spans="1:14" ht="15" thickBot="1" x14ac:dyDescent="0.35">
      <c r="A32" s="33" t="str">
        <f t="shared" ref="A32:H32" si="2">A12</f>
        <v>LULC</v>
      </c>
      <c r="B32" s="34" t="str">
        <f t="shared" si="2"/>
        <v>ALAMEDA</v>
      </c>
      <c r="C32" s="34" t="str">
        <f t="shared" si="2"/>
        <v>CONTRA</v>
      </c>
      <c r="D32" s="34" t="str">
        <f t="shared" si="2"/>
        <v>FAIRFIELD</v>
      </c>
      <c r="E32" s="34" t="str">
        <f t="shared" si="2"/>
        <v>SANMATEO</v>
      </c>
      <c r="F32" s="34" t="str">
        <f t="shared" si="2"/>
        <v>SANTACLARA</v>
      </c>
      <c r="G32" s="34" t="str">
        <f t="shared" si="2"/>
        <v>VALLEJO</v>
      </c>
      <c r="H32" s="35" t="str">
        <f t="shared" si="2"/>
        <v>TOTAL LU</v>
      </c>
    </row>
    <row r="33" spans="1:8" x14ac:dyDescent="0.3">
      <c r="A33" s="14" t="s">
        <v>53</v>
      </c>
      <c r="B33" s="24">
        <f t="shared" ref="B33:G36" si="3">B13*$B$30</f>
        <v>358.75869617265795</v>
      </c>
      <c r="C33" s="24">
        <f t="shared" si="3"/>
        <v>339.08162806386332</v>
      </c>
      <c r="D33" s="24">
        <f t="shared" si="3"/>
        <v>19.655941794664511</v>
      </c>
      <c r="E33" s="24">
        <f t="shared" si="3"/>
        <v>103.69098451579571</v>
      </c>
      <c r="F33" s="24">
        <f t="shared" si="3"/>
        <v>695.46101880591561</v>
      </c>
      <c r="G33" s="24">
        <f t="shared" si="3"/>
        <v>1.9552583025830259</v>
      </c>
      <c r="H33" s="36">
        <f>SUM(B33:G33)</f>
        <v>1518.6035276554799</v>
      </c>
    </row>
    <row r="34" spans="1:8" x14ac:dyDescent="0.3">
      <c r="A34" s="14" t="s">
        <v>5</v>
      </c>
      <c r="B34" s="24">
        <f t="shared" si="3"/>
        <v>230.0560248999555</v>
      </c>
      <c r="C34" s="24">
        <f t="shared" si="3"/>
        <v>69.555205756689901</v>
      </c>
      <c r="D34" s="24">
        <f t="shared" si="3"/>
        <v>0</v>
      </c>
      <c r="E34" s="24">
        <f t="shared" si="3"/>
        <v>6.2214590709477422</v>
      </c>
      <c r="F34" s="24">
        <f t="shared" si="3"/>
        <v>366.13977166546732</v>
      </c>
      <c r="G34" s="24">
        <f t="shared" si="3"/>
        <v>0</v>
      </c>
      <c r="H34" s="36">
        <f>SUM(B34:G34)</f>
        <v>671.97246139306048</v>
      </c>
    </row>
    <row r="35" spans="1:8" x14ac:dyDescent="0.3">
      <c r="A35" s="14" t="s">
        <v>40</v>
      </c>
      <c r="B35" s="24">
        <f t="shared" si="3"/>
        <v>3.2175667818175602</v>
      </c>
      <c r="C35" s="24">
        <f t="shared" si="3"/>
        <v>20.866561727006971</v>
      </c>
      <c r="D35" s="24">
        <f t="shared" si="3"/>
        <v>0</v>
      </c>
      <c r="E35" s="24">
        <f t="shared" si="3"/>
        <v>10.369098451579571</v>
      </c>
      <c r="F35" s="24">
        <f t="shared" si="3"/>
        <v>6.1364207541698432</v>
      </c>
      <c r="G35" s="24">
        <f t="shared" si="3"/>
        <v>0</v>
      </c>
      <c r="H35" s="36">
        <f>SUM(B35:G35)</f>
        <v>40.589647714573942</v>
      </c>
    </row>
    <row r="36" spans="1:8" ht="15" thickBot="1" x14ac:dyDescent="0.35">
      <c r="A36" s="14" t="s">
        <v>41</v>
      </c>
      <c r="B36" s="24">
        <f t="shared" si="3"/>
        <v>1.6087833909087801</v>
      </c>
      <c r="C36" s="24">
        <f t="shared" si="3"/>
        <v>0</v>
      </c>
      <c r="D36" s="24">
        <f t="shared" si="3"/>
        <v>0</v>
      </c>
      <c r="E36" s="24">
        <f t="shared" si="3"/>
        <v>12.442918141895484</v>
      </c>
      <c r="F36" s="24">
        <f t="shared" si="3"/>
        <v>18.409262262509529</v>
      </c>
      <c r="G36" s="24">
        <f t="shared" si="3"/>
        <v>0</v>
      </c>
      <c r="H36" s="36">
        <f>SUM(B36:G36)</f>
        <v>32.460963795313795</v>
      </c>
    </row>
    <row r="37" spans="1:8" ht="15" thickBot="1" x14ac:dyDescent="0.35">
      <c r="A37" s="5" t="s">
        <v>76</v>
      </c>
      <c r="B37" s="37">
        <f t="shared" ref="B37:G37" si="4">SUM(B33:B36)</f>
        <v>593.64107124533984</v>
      </c>
      <c r="C37" s="37">
        <f t="shared" si="4"/>
        <v>429.50339554756016</v>
      </c>
      <c r="D37" s="37">
        <f t="shared" si="4"/>
        <v>19.655941794664511</v>
      </c>
      <c r="E37" s="37">
        <f t="shared" si="4"/>
        <v>132.7244601802185</v>
      </c>
      <c r="F37" s="37">
        <f t="shared" si="4"/>
        <v>1086.1464734880624</v>
      </c>
      <c r="G37" s="37">
        <f t="shared" si="4"/>
        <v>1.9552583025830259</v>
      </c>
      <c r="H37" s="39">
        <f>SUM(B37:G37)</f>
        <v>2263.6266005584284</v>
      </c>
    </row>
    <row r="38" spans="1:8" ht="15" thickBot="1" x14ac:dyDescent="0.35">
      <c r="A38" s="14" t="s">
        <v>28</v>
      </c>
      <c r="B38" s="24">
        <f t="shared" ref="B38:G38" si="5">B18</f>
        <v>742.93281250000007</v>
      </c>
      <c r="C38" s="24">
        <f t="shared" si="5"/>
        <v>743.25625000000002</v>
      </c>
      <c r="D38" s="24">
        <f t="shared" si="5"/>
        <v>30.053125000000001</v>
      </c>
      <c r="E38" s="24">
        <f t="shared" si="5"/>
        <v>452.61406250000005</v>
      </c>
      <c r="F38" s="24">
        <f t="shared" si="5"/>
        <v>1296.7062500000002</v>
      </c>
      <c r="G38" s="24">
        <f t="shared" si="5"/>
        <v>32.703125</v>
      </c>
      <c r="H38" s="38"/>
    </row>
    <row r="39" spans="1:8" ht="15" thickBot="1" x14ac:dyDescent="0.35">
      <c r="A39" s="5" t="s">
        <v>77</v>
      </c>
      <c r="B39" s="46">
        <f t="shared" ref="B39:G39" si="6">B37/B38</f>
        <v>0.79905081759373742</v>
      </c>
      <c r="C39" s="46">
        <f t="shared" si="6"/>
        <v>0.5778671831519212</v>
      </c>
      <c r="D39" s="46">
        <f t="shared" si="6"/>
        <v>0.65403986422924432</v>
      </c>
      <c r="E39" s="46">
        <f t="shared" si="6"/>
        <v>0.29323980666247745</v>
      </c>
      <c r="F39" s="46">
        <f t="shared" si="6"/>
        <v>0.83761952523022254</v>
      </c>
      <c r="G39" s="46">
        <f t="shared" si="6"/>
        <v>5.978811818696305E-2</v>
      </c>
      <c r="H39" s="38"/>
    </row>
    <row r="41" spans="1:8" s="8" customFormat="1" x14ac:dyDescent="0.3">
      <c r="A41" s="9" t="s">
        <v>100</v>
      </c>
      <c r="B41" s="24"/>
      <c r="C41" s="24"/>
      <c r="D41" s="24"/>
      <c r="E41" s="24"/>
      <c r="F41" s="24"/>
      <c r="G41" s="24"/>
      <c r="H41" s="24"/>
    </row>
    <row r="42" spans="1:8" s="120" customFormat="1" x14ac:dyDescent="0.3">
      <c r="A42" s="110" t="s">
        <v>138</v>
      </c>
      <c r="B42" s="121">
        <v>1.46</v>
      </c>
      <c r="C42" s="114" t="s">
        <v>61</v>
      </c>
      <c r="D42" s="113"/>
      <c r="E42" s="113"/>
      <c r="F42" s="113"/>
      <c r="G42" s="113"/>
      <c r="H42" s="113"/>
    </row>
    <row r="43" spans="1:8" s="120" customFormat="1" x14ac:dyDescent="0.3">
      <c r="A43" s="110" t="s">
        <v>140</v>
      </c>
      <c r="B43" s="114" t="s">
        <v>62</v>
      </c>
      <c r="C43" s="113"/>
      <c r="D43" s="113"/>
      <c r="E43" s="113"/>
      <c r="F43" s="113"/>
      <c r="G43" s="113"/>
      <c r="H43" s="113"/>
    </row>
    <row r="44" spans="1:8" s="120" customFormat="1" x14ac:dyDescent="0.3">
      <c r="A44" s="110"/>
      <c r="B44" s="113"/>
      <c r="C44" s="113"/>
      <c r="D44" s="113"/>
      <c r="E44" s="113"/>
      <c r="F44" s="113"/>
      <c r="G44" s="113"/>
      <c r="H44" s="113"/>
    </row>
    <row r="45" spans="1:8" s="120" customFormat="1" x14ac:dyDescent="0.3">
      <c r="A45" s="110" t="s">
        <v>138</v>
      </c>
      <c r="B45" s="122">
        <v>10.3</v>
      </c>
      <c r="C45" s="114" t="s">
        <v>63</v>
      </c>
      <c r="D45" s="113"/>
      <c r="E45" s="113"/>
      <c r="F45" s="113"/>
      <c r="G45" s="113"/>
      <c r="H45" s="113"/>
    </row>
    <row r="46" spans="1:8" s="120" customFormat="1" ht="15" thickBot="1" x14ac:dyDescent="0.35">
      <c r="A46" s="9" t="s">
        <v>116</v>
      </c>
      <c r="B46" s="116" t="s">
        <v>57</v>
      </c>
      <c r="C46" s="113"/>
      <c r="D46" s="113"/>
      <c r="E46" s="113"/>
      <c r="F46" s="113"/>
      <c r="G46" s="113"/>
      <c r="H46" s="113"/>
    </row>
    <row r="47" spans="1:8" ht="15" thickBot="1" x14ac:dyDescent="0.35">
      <c r="A47" s="7" t="str">
        <f t="shared" ref="A47:H47" si="7">A32</f>
        <v>LULC</v>
      </c>
      <c r="B47" s="18" t="str">
        <f t="shared" si="7"/>
        <v>ALAMEDA</v>
      </c>
      <c r="C47" s="18" t="str">
        <f t="shared" si="7"/>
        <v>CONTRA</v>
      </c>
      <c r="D47" s="18" t="str">
        <f t="shared" si="7"/>
        <v>FAIRFIELD</v>
      </c>
      <c r="E47" s="18" t="str">
        <f t="shared" si="7"/>
        <v>SANMATEO</v>
      </c>
      <c r="F47" s="18" t="str">
        <f t="shared" si="7"/>
        <v>SANTACLARA</v>
      </c>
      <c r="G47" s="18" t="str">
        <f t="shared" si="7"/>
        <v>VALLEJO</v>
      </c>
      <c r="H47" s="19" t="str">
        <f t="shared" si="7"/>
        <v>TOTAL LU</v>
      </c>
    </row>
    <row r="48" spans="1:8" x14ac:dyDescent="0.3">
      <c r="A48" s="1" t="s">
        <v>53</v>
      </c>
      <c r="B48" s="56">
        <f t="shared" ref="B48:G51" si="8">B33*B24*$B$42*$B$45</f>
        <v>136261777.65862927</v>
      </c>
      <c r="C48" s="56">
        <f t="shared" si="8"/>
        <v>108780480.16799463</v>
      </c>
      <c r="D48" s="56">
        <f t="shared" si="8"/>
        <v>3055059.2063705097</v>
      </c>
      <c r="E48" s="56">
        <f t="shared" si="8"/>
        <v>27916487.354038257</v>
      </c>
      <c r="F48" s="56">
        <f t="shared" si="8"/>
        <v>230797477.31298757</v>
      </c>
      <c r="G48" s="56">
        <f t="shared" si="8"/>
        <v>619054.43285424355</v>
      </c>
      <c r="H48" s="20">
        <f>SUM(B48:G48)</f>
        <v>507430336.13287449</v>
      </c>
    </row>
    <row r="49" spans="1:8" x14ac:dyDescent="0.3">
      <c r="A49" s="1" t="s">
        <v>5</v>
      </c>
      <c r="B49" s="56">
        <f t="shared" si="8"/>
        <v>105479051.24402323</v>
      </c>
      <c r="C49" s="56">
        <f t="shared" si="8"/>
        <v>32577190.919420369</v>
      </c>
      <c r="D49" s="56">
        <f t="shared" si="8"/>
        <v>0</v>
      </c>
      <c r="E49" s="56">
        <f t="shared" si="8"/>
        <v>2689763.7450606204</v>
      </c>
      <c r="F49" s="56">
        <f t="shared" si="8"/>
        <v>183204290.69959235</v>
      </c>
      <c r="G49" s="56">
        <f t="shared" si="8"/>
        <v>0</v>
      </c>
      <c r="H49" s="20">
        <f>SUM(B49:G49)</f>
        <v>323950296.6080966</v>
      </c>
    </row>
    <row r="50" spans="1:8" x14ac:dyDescent="0.3">
      <c r="A50" s="1" t="s">
        <v>40</v>
      </c>
      <c r="B50" s="56">
        <f t="shared" si="8"/>
        <v>4331290.8443694226</v>
      </c>
      <c r="C50" s="56">
        <f t="shared" si="8"/>
        <v>6538219.4362752782</v>
      </c>
      <c r="D50" s="56">
        <f t="shared" si="8"/>
        <v>0</v>
      </c>
      <c r="E50" s="56">
        <f t="shared" si="8"/>
        <v>937341.91115748906</v>
      </c>
      <c r="F50" s="56">
        <f t="shared" si="8"/>
        <v>2827185.3534421115</v>
      </c>
      <c r="G50" s="56">
        <f t="shared" si="8"/>
        <v>0</v>
      </c>
      <c r="H50" s="20">
        <f>SUM(B50:G50)</f>
        <v>14634037.545244301</v>
      </c>
    </row>
    <row r="51" spans="1:8" ht="15" thickBot="1" x14ac:dyDescent="0.35">
      <c r="A51" s="1" t="s">
        <v>41</v>
      </c>
      <c r="B51" s="56">
        <f t="shared" si="8"/>
        <v>136999.46709684306</v>
      </c>
      <c r="C51" s="56">
        <f t="shared" si="8"/>
        <v>0</v>
      </c>
      <c r="D51" s="56">
        <f t="shared" si="8"/>
        <v>0</v>
      </c>
      <c r="E51" s="56">
        <f t="shared" si="8"/>
        <v>2567501.7566487738</v>
      </c>
      <c r="F51" s="56">
        <f t="shared" si="8"/>
        <v>8856727.5764229186</v>
      </c>
      <c r="G51" s="56">
        <f t="shared" si="8"/>
        <v>0</v>
      </c>
      <c r="H51" s="20">
        <f>SUM(B51:G51)</f>
        <v>11561228.800168537</v>
      </c>
    </row>
    <row r="52" spans="1:8" ht="15" thickBot="1" x14ac:dyDescent="0.35">
      <c r="A52" s="2" t="s">
        <v>76</v>
      </c>
      <c r="B52" s="23">
        <f t="shared" ref="B52:G52" si="9">SUM(B48:B51)</f>
        <v>246209119.21411875</v>
      </c>
      <c r="C52" s="23">
        <f t="shared" si="9"/>
        <v>147895890.52369028</v>
      </c>
      <c r="D52" s="23">
        <f t="shared" si="9"/>
        <v>3055059.2063705097</v>
      </c>
      <c r="E52" s="23">
        <f t="shared" si="9"/>
        <v>34111094.766905136</v>
      </c>
      <c r="F52" s="23">
        <f t="shared" si="9"/>
        <v>425685680.94244498</v>
      </c>
      <c r="G52" s="23">
        <f t="shared" si="9"/>
        <v>619054.43285424355</v>
      </c>
      <c r="H52" s="28">
        <f>SUM(B52:G52)</f>
        <v>857575899.08638394</v>
      </c>
    </row>
    <row r="54" spans="1:8" ht="15" thickBot="1" x14ac:dyDescent="0.35">
      <c r="A54" s="9" t="s">
        <v>101</v>
      </c>
    </row>
    <row r="55" spans="1:8" ht="15" thickBot="1" x14ac:dyDescent="0.35">
      <c r="A55" s="7" t="s">
        <v>51</v>
      </c>
      <c r="B55" s="18" t="s">
        <v>52</v>
      </c>
      <c r="C55" s="18" t="s">
        <v>42</v>
      </c>
      <c r="D55" s="18" t="s">
        <v>46</v>
      </c>
      <c r="E55" s="18" t="s">
        <v>45</v>
      </c>
      <c r="F55" s="18" t="s">
        <v>44</v>
      </c>
      <c r="G55" s="18" t="s">
        <v>43</v>
      </c>
      <c r="H55" s="19" t="s">
        <v>128</v>
      </c>
    </row>
    <row r="56" spans="1:8" x14ac:dyDescent="0.3">
      <c r="A56" s="1" t="s">
        <v>53</v>
      </c>
      <c r="B56" s="56">
        <f>B48*0.028</f>
        <v>3815329.7744416194</v>
      </c>
      <c r="C56" s="56">
        <f t="shared" ref="B56:G59" si="10">C48*0.028</f>
        <v>3045853.44470385</v>
      </c>
      <c r="D56" s="56">
        <f t="shared" si="10"/>
        <v>85541.657778374269</v>
      </c>
      <c r="E56" s="56">
        <f t="shared" si="10"/>
        <v>781661.64591307123</v>
      </c>
      <c r="F56" s="56">
        <f t="shared" si="10"/>
        <v>6462329.364763652</v>
      </c>
      <c r="G56" s="56">
        <f t="shared" si="10"/>
        <v>17333.52411991882</v>
      </c>
      <c r="H56" s="20">
        <f>SUM(B56:G56)</f>
        <v>14208049.411720486</v>
      </c>
    </row>
    <row r="57" spans="1:8" x14ac:dyDescent="0.3">
      <c r="A57" s="1" t="s">
        <v>5</v>
      </c>
      <c r="B57" s="56">
        <f>B49*0.028</f>
        <v>2953413.4348326507</v>
      </c>
      <c r="C57" s="56">
        <f t="shared" si="10"/>
        <v>912161.34574377036</v>
      </c>
      <c r="D57" s="56">
        <f t="shared" si="10"/>
        <v>0</v>
      </c>
      <c r="E57" s="56">
        <f t="shared" si="10"/>
        <v>75313.38486169737</v>
      </c>
      <c r="F57" s="56">
        <f t="shared" si="10"/>
        <v>5129720.1395885861</v>
      </c>
      <c r="G57" s="56">
        <f t="shared" si="10"/>
        <v>0</v>
      </c>
      <c r="H57" s="20">
        <f>SUM(B57:G57)</f>
        <v>9070608.3050267044</v>
      </c>
    </row>
    <row r="58" spans="1:8" x14ac:dyDescent="0.3">
      <c r="A58" s="1" t="s">
        <v>40</v>
      </c>
      <c r="B58" s="56">
        <f t="shared" si="10"/>
        <v>121276.14364234384</v>
      </c>
      <c r="C58" s="56">
        <f t="shared" si="10"/>
        <v>183070.14421570778</v>
      </c>
      <c r="D58" s="56">
        <f t="shared" si="10"/>
        <v>0</v>
      </c>
      <c r="E58" s="56">
        <f t="shared" si="10"/>
        <v>26245.573512409694</v>
      </c>
      <c r="F58" s="56">
        <f t="shared" si="10"/>
        <v>79161.189896379117</v>
      </c>
      <c r="G58" s="56">
        <f t="shared" si="10"/>
        <v>0</v>
      </c>
      <c r="H58" s="20">
        <f>SUM(B58:G58)</f>
        <v>409753.05126684043</v>
      </c>
    </row>
    <row r="59" spans="1:8" ht="15" thickBot="1" x14ac:dyDescent="0.35">
      <c r="A59" s="1" t="s">
        <v>41</v>
      </c>
      <c r="B59" s="56">
        <f t="shared" si="10"/>
        <v>3835.9850787116056</v>
      </c>
      <c r="C59" s="56">
        <f t="shared" si="10"/>
        <v>0</v>
      </c>
      <c r="D59" s="56">
        <f t="shared" si="10"/>
        <v>0</v>
      </c>
      <c r="E59" s="56">
        <f t="shared" si="10"/>
        <v>71890.049186165663</v>
      </c>
      <c r="F59" s="56">
        <f>F51*0.028</f>
        <v>247988.37213984173</v>
      </c>
      <c r="G59" s="56">
        <f t="shared" si="10"/>
        <v>0</v>
      </c>
      <c r="H59" s="20">
        <f>SUM(B59:G59)</f>
        <v>323714.40640471899</v>
      </c>
    </row>
    <row r="60" spans="1:8" ht="15" thickBot="1" x14ac:dyDescent="0.35">
      <c r="A60" s="2" t="s">
        <v>76</v>
      </c>
      <c r="B60" s="23">
        <f t="shared" ref="B60:G60" si="11">SUM(B56:B59)</f>
        <v>6893855.3379953252</v>
      </c>
      <c r="C60" s="23">
        <f t="shared" si="11"/>
        <v>4141084.9346633279</v>
      </c>
      <c r="D60" s="23">
        <f t="shared" si="11"/>
        <v>85541.657778374269</v>
      </c>
      <c r="E60" s="23">
        <f t="shared" si="11"/>
        <v>955110.65347334393</v>
      </c>
      <c r="F60" s="23">
        <f t="shared" si="11"/>
        <v>11919199.066388458</v>
      </c>
      <c r="G60" s="23">
        <f t="shared" si="11"/>
        <v>17333.52411991882</v>
      </c>
      <c r="H60" s="28">
        <f>SUM(B60:G60)</f>
        <v>24012125.174418747</v>
      </c>
    </row>
    <row r="62" spans="1:8" s="8" customFormat="1" x14ac:dyDescent="0.3">
      <c r="A62" s="9" t="s">
        <v>99</v>
      </c>
      <c r="B62" s="24"/>
      <c r="C62" s="24"/>
      <c r="D62" s="24"/>
      <c r="E62" s="24"/>
      <c r="F62" s="24"/>
      <c r="G62" s="24"/>
      <c r="H62" s="24"/>
    </row>
    <row r="63" spans="1:8" s="120" customFormat="1" x14ac:dyDescent="0.3">
      <c r="A63" s="110" t="s">
        <v>138</v>
      </c>
      <c r="B63" s="123">
        <v>55</v>
      </c>
      <c r="C63" s="114" t="s">
        <v>67</v>
      </c>
      <c r="D63" s="113"/>
      <c r="E63" s="113"/>
      <c r="F63" s="113"/>
      <c r="G63" s="113"/>
      <c r="H63" s="113"/>
    </row>
    <row r="64" spans="1:8" s="120" customFormat="1" ht="15" thickBot="1" x14ac:dyDescent="0.35">
      <c r="A64" s="110" t="s">
        <v>108</v>
      </c>
      <c r="B64" s="114" t="s">
        <v>109</v>
      </c>
      <c r="C64" s="113"/>
      <c r="D64" s="113"/>
      <c r="E64" s="113"/>
      <c r="F64" s="113"/>
      <c r="G64" s="113"/>
      <c r="H64" s="113"/>
    </row>
    <row r="65" spans="1:8" ht="15" thickBot="1" x14ac:dyDescent="0.35">
      <c r="A65" s="7" t="s">
        <v>51</v>
      </c>
      <c r="B65" s="18" t="s">
        <v>52</v>
      </c>
      <c r="C65" s="18" t="s">
        <v>42</v>
      </c>
      <c r="D65" s="18" t="s">
        <v>46</v>
      </c>
      <c r="E65" s="18" t="s">
        <v>45</v>
      </c>
      <c r="F65" s="18" t="s">
        <v>44</v>
      </c>
      <c r="G65" s="18" t="s">
        <v>43</v>
      </c>
      <c r="H65" s="19" t="s">
        <v>128</v>
      </c>
    </row>
    <row r="66" spans="1:8" x14ac:dyDescent="0.3">
      <c r="A66" s="1" t="s">
        <v>53</v>
      </c>
      <c r="B66" s="56">
        <f>B56*$B$63</f>
        <v>209843137.59428906</v>
      </c>
      <c r="C66" s="56">
        <f t="shared" ref="C66:G66" si="12">C56*$B$63</f>
        <v>167521939.45871174</v>
      </c>
      <c r="D66" s="56">
        <f t="shared" si="12"/>
        <v>4704791.1778105851</v>
      </c>
      <c r="E66" s="56">
        <f t="shared" si="12"/>
        <v>42991390.525218919</v>
      </c>
      <c r="F66" s="56">
        <f t="shared" si="12"/>
        <v>355428115.06200087</v>
      </c>
      <c r="G66" s="56">
        <f t="shared" si="12"/>
        <v>953343.82659553515</v>
      </c>
      <c r="H66" s="20">
        <f>SUM(B66:G66)</f>
        <v>781442717.64462674</v>
      </c>
    </row>
    <row r="67" spans="1:8" x14ac:dyDescent="0.3">
      <c r="A67" s="1" t="s">
        <v>5</v>
      </c>
      <c r="B67" s="56">
        <f t="shared" ref="B67:G69" si="13">B57*$B$63</f>
        <v>162437738.9157958</v>
      </c>
      <c r="C67" s="56">
        <f t="shared" si="13"/>
        <v>50168874.01590737</v>
      </c>
      <c r="D67" s="56">
        <f t="shared" si="13"/>
        <v>0</v>
      </c>
      <c r="E67" s="56">
        <f t="shared" si="13"/>
        <v>4142236.1673933552</v>
      </c>
      <c r="F67" s="56">
        <f t="shared" si="13"/>
        <v>282134607.67737222</v>
      </c>
      <c r="G67" s="56">
        <f t="shared" si="13"/>
        <v>0</v>
      </c>
      <c r="H67" s="20">
        <f>SUM(B67:G67)</f>
        <v>498883456.77646875</v>
      </c>
    </row>
    <row r="68" spans="1:8" x14ac:dyDescent="0.3">
      <c r="A68" s="1" t="s">
        <v>40</v>
      </c>
      <c r="B68" s="56">
        <f t="shared" si="13"/>
        <v>6670187.9003289109</v>
      </c>
      <c r="C68" s="56">
        <f t="shared" si="13"/>
        <v>10068857.931863928</v>
      </c>
      <c r="D68" s="56">
        <f t="shared" si="13"/>
        <v>0</v>
      </c>
      <c r="E68" s="56">
        <f t="shared" si="13"/>
        <v>1443506.5431825332</v>
      </c>
      <c r="F68" s="56">
        <f t="shared" si="13"/>
        <v>4353865.4443008518</v>
      </c>
      <c r="G68" s="56">
        <f t="shared" si="13"/>
        <v>0</v>
      </c>
      <c r="H68" s="20">
        <f>SUM(B68:G68)</f>
        <v>22536417.819676224</v>
      </c>
    </row>
    <row r="69" spans="1:8" ht="15" thickBot="1" x14ac:dyDescent="0.35">
      <c r="A69" s="1" t="s">
        <v>41</v>
      </c>
      <c r="B69" s="56">
        <f t="shared" si="13"/>
        <v>210979.17932913831</v>
      </c>
      <c r="C69" s="56">
        <f t="shared" si="13"/>
        <v>0</v>
      </c>
      <c r="D69" s="56">
        <f t="shared" si="13"/>
        <v>0</v>
      </c>
      <c r="E69" s="56">
        <f t="shared" si="13"/>
        <v>3953952.7052391116</v>
      </c>
      <c r="F69" s="56">
        <f t="shared" si="13"/>
        <v>13639360.467691295</v>
      </c>
      <c r="G69" s="56">
        <f>G59*$B$63</f>
        <v>0</v>
      </c>
      <c r="H69" s="20">
        <f>SUM(B69:G69)</f>
        <v>17804292.352259547</v>
      </c>
    </row>
    <row r="70" spans="1:8" ht="15" thickBot="1" x14ac:dyDescent="0.35">
      <c r="A70" s="2" t="s">
        <v>76</v>
      </c>
      <c r="B70" s="23">
        <f t="shared" ref="B70:G70" si="14">SUM(B66:B69)</f>
        <v>379162043.58974296</v>
      </c>
      <c r="C70" s="23">
        <f t="shared" si="14"/>
        <v>227759671.40648305</v>
      </c>
      <c r="D70" s="23">
        <f t="shared" si="14"/>
        <v>4704791.1778105851</v>
      </c>
      <c r="E70" s="23">
        <f t="shared" si="14"/>
        <v>52531085.941033922</v>
      </c>
      <c r="F70" s="23">
        <f t="shared" si="14"/>
        <v>655555948.65136528</v>
      </c>
      <c r="G70" s="23">
        <f t="shared" si="14"/>
        <v>953343.82659553515</v>
      </c>
      <c r="H70" s="28">
        <f>SUM(B70:G70)</f>
        <v>1320666884.5930314</v>
      </c>
    </row>
    <row r="72" spans="1:8" s="8" customFormat="1" x14ac:dyDescent="0.3">
      <c r="A72" s="9" t="s">
        <v>105</v>
      </c>
      <c r="B72" s="24"/>
      <c r="C72" s="24"/>
      <c r="D72" s="24"/>
      <c r="E72" s="24"/>
      <c r="F72" s="24"/>
      <c r="G72" s="24"/>
      <c r="H72" s="24"/>
    </row>
    <row r="73" spans="1:8" s="120" customFormat="1" x14ac:dyDescent="0.3">
      <c r="A73" s="110" t="s">
        <v>138</v>
      </c>
      <c r="B73" s="113">
        <v>7990</v>
      </c>
      <c r="C73" s="114" t="s">
        <v>64</v>
      </c>
      <c r="D73" s="113"/>
      <c r="E73" s="113"/>
      <c r="F73" s="113"/>
      <c r="G73" s="113"/>
      <c r="H73" s="113"/>
    </row>
    <row r="74" spans="1:8" s="120" customFormat="1" ht="15" thickBot="1" x14ac:dyDescent="0.35">
      <c r="A74" s="110" t="s">
        <v>140</v>
      </c>
      <c r="B74" s="114" t="s">
        <v>68</v>
      </c>
      <c r="C74" s="114"/>
      <c r="D74" s="113"/>
      <c r="E74" s="113"/>
      <c r="F74" s="113"/>
      <c r="G74" s="113"/>
      <c r="H74" s="113"/>
    </row>
    <row r="75" spans="1:8" ht="15" thickBot="1" x14ac:dyDescent="0.35">
      <c r="A75" s="33" t="s">
        <v>51</v>
      </c>
      <c r="B75" s="34" t="s">
        <v>52</v>
      </c>
      <c r="C75" s="34" t="s">
        <v>42</v>
      </c>
      <c r="D75" s="34" t="s">
        <v>46</v>
      </c>
      <c r="E75" s="34" t="s">
        <v>45</v>
      </c>
      <c r="F75" s="34" t="s">
        <v>44</v>
      </c>
      <c r="G75" s="34" t="s">
        <v>43</v>
      </c>
      <c r="H75" s="35" t="s">
        <v>128</v>
      </c>
    </row>
    <row r="76" spans="1:8" x14ac:dyDescent="0.3">
      <c r="A76" s="14" t="s">
        <v>53</v>
      </c>
      <c r="B76" s="24">
        <f>B66*$B$73/10^6</f>
        <v>1676646.6693783696</v>
      </c>
      <c r="C76" s="24">
        <f t="shared" ref="C76:G76" si="15">C66*$B$73/10^6</f>
        <v>1338500.296275107</v>
      </c>
      <c r="D76" s="24">
        <f t="shared" si="15"/>
        <v>37591.281510706576</v>
      </c>
      <c r="E76" s="24">
        <f t="shared" si="15"/>
        <v>343501.21029649914</v>
      </c>
      <c r="F76" s="24">
        <f t="shared" si="15"/>
        <v>2839870.6393453865</v>
      </c>
      <c r="G76" s="24">
        <f t="shared" si="15"/>
        <v>7617.2171744983261</v>
      </c>
      <c r="H76" s="36">
        <f>SUM(B76:G76)</f>
        <v>6243727.3139805663</v>
      </c>
    </row>
    <row r="77" spans="1:8" x14ac:dyDescent="0.3">
      <c r="A77" s="14" t="s">
        <v>5</v>
      </c>
      <c r="B77" s="24">
        <f t="shared" ref="B77:G79" si="16">B67*$B$73/10^6</f>
        <v>1297877.5339372086</v>
      </c>
      <c r="C77" s="24">
        <f t="shared" si="16"/>
        <v>400849.30338709988</v>
      </c>
      <c r="D77" s="24">
        <f t="shared" si="16"/>
        <v>0</v>
      </c>
      <c r="E77" s="24">
        <f t="shared" si="16"/>
        <v>33096.466977472905</v>
      </c>
      <c r="F77" s="24">
        <f t="shared" si="16"/>
        <v>2254255.5153422039</v>
      </c>
      <c r="G77" s="24">
        <f t="shared" si="16"/>
        <v>0</v>
      </c>
      <c r="H77" s="36">
        <f>SUM(B77:G77)</f>
        <v>3986078.8196439855</v>
      </c>
    </row>
    <row r="78" spans="1:8" x14ac:dyDescent="0.3">
      <c r="A78" s="14" t="s">
        <v>40</v>
      </c>
      <c r="B78" s="24">
        <f t="shared" si="16"/>
        <v>53294.801323627995</v>
      </c>
      <c r="C78" s="24">
        <f t="shared" si="16"/>
        <v>80450.174875592784</v>
      </c>
      <c r="D78" s="24">
        <f t="shared" si="16"/>
        <v>0</v>
      </c>
      <c r="E78" s="24">
        <f t="shared" si="16"/>
        <v>11533.61728002844</v>
      </c>
      <c r="F78" s="24">
        <f t="shared" si="16"/>
        <v>34787.384899963807</v>
      </c>
      <c r="G78" s="24">
        <f t="shared" si="16"/>
        <v>0</v>
      </c>
      <c r="H78" s="36">
        <f>SUM(B78:G78)</f>
        <v>180065.97837921302</v>
      </c>
    </row>
    <row r="79" spans="1:8" ht="15" thickBot="1" x14ac:dyDescent="0.35">
      <c r="A79" s="14" t="s">
        <v>41</v>
      </c>
      <c r="B79" s="24">
        <f t="shared" si="16"/>
        <v>1685.7236428398151</v>
      </c>
      <c r="C79" s="24">
        <f t="shared" si="16"/>
        <v>0</v>
      </c>
      <c r="D79" s="24">
        <f t="shared" si="16"/>
        <v>0</v>
      </c>
      <c r="E79" s="24">
        <f t="shared" si="16"/>
        <v>31592.082114860499</v>
      </c>
      <c r="F79" s="24">
        <f>F69*$B$73/10^6</f>
        <v>108978.49013685343</v>
      </c>
      <c r="G79" s="24">
        <f t="shared" si="16"/>
        <v>0</v>
      </c>
      <c r="H79" s="36">
        <f>SUM(B79:G79)</f>
        <v>142256.29589455374</v>
      </c>
    </row>
    <row r="80" spans="1:8" ht="15" thickBot="1" x14ac:dyDescent="0.35">
      <c r="A80" s="5" t="s">
        <v>76</v>
      </c>
      <c r="B80" s="37">
        <f t="shared" ref="B80:G80" si="17">SUM(B76:B79)</f>
        <v>3029504.728282046</v>
      </c>
      <c r="C80" s="37">
        <f t="shared" si="17"/>
        <v>1819799.7745377996</v>
      </c>
      <c r="D80" s="37">
        <f t="shared" si="17"/>
        <v>37591.281510706576</v>
      </c>
      <c r="E80" s="37">
        <f t="shared" si="17"/>
        <v>419723.37666886096</v>
      </c>
      <c r="F80" s="37">
        <f t="shared" si="17"/>
        <v>5237892.0297244079</v>
      </c>
      <c r="G80" s="37">
        <f t="shared" si="17"/>
        <v>7617.2171744983261</v>
      </c>
      <c r="H80" s="39">
        <f>SUM(B80:G80)</f>
        <v>10552128.40789832</v>
      </c>
    </row>
    <row r="82" spans="1:7" x14ac:dyDescent="0.3">
      <c r="A82" s="127" t="s">
        <v>48</v>
      </c>
      <c r="B82" s="127"/>
      <c r="C82" s="127"/>
      <c r="D82" s="127"/>
      <c r="E82" s="30">
        <f>H80/1000</f>
        <v>10552.128407898319</v>
      </c>
      <c r="F82" s="31"/>
      <c r="G82" s="31"/>
    </row>
    <row r="83" spans="1:7" x14ac:dyDescent="0.3">
      <c r="A83" s="32" t="s">
        <v>23</v>
      </c>
      <c r="B83" s="29"/>
      <c r="C83" s="30"/>
      <c r="D83" s="30"/>
      <c r="E83" s="45">
        <f>E82/H37</f>
        <v>4.6616029363213647</v>
      </c>
    </row>
  </sheetData>
  <mergeCells count="1">
    <mergeCell ref="A82:D82"/>
  </mergeCells>
  <phoneticPr fontId="1" type="noConversion"/>
  <pageMargins left="0.75" right="0.75" top="1" bottom="1" header="0.5" footer="0.5"/>
  <pageSetup scale="74" fitToHeight="2" orientation="landscape"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topLeftCell="A7" workbookViewId="0">
      <selection activeCell="M19" sqref="M19"/>
    </sheetView>
  </sheetViews>
  <sheetFormatPr defaultColWidth="8.77734375" defaultRowHeight="14.4" x14ac:dyDescent="0.3"/>
  <cols>
    <col min="1" max="1" width="14.77734375" customWidth="1"/>
    <col min="2" max="2" width="12.88671875" style="56" customWidth="1"/>
    <col min="3" max="3" width="11.88671875" style="56" customWidth="1"/>
    <col min="4" max="4" width="9.109375" style="56" customWidth="1"/>
    <col min="5" max="5" width="12" style="56" customWidth="1"/>
    <col min="6" max="6" width="11.88671875" style="56" customWidth="1"/>
    <col min="7" max="7" width="9.109375" style="56" customWidth="1"/>
    <col min="8" max="8" width="13.6640625" style="56" customWidth="1"/>
  </cols>
  <sheetData>
    <row r="1" spans="1:14" x14ac:dyDescent="0.3">
      <c r="A1" s="9" t="s">
        <v>56</v>
      </c>
    </row>
    <row r="2" spans="1:14" ht="15" thickBot="1" x14ac:dyDescent="0.35">
      <c r="A2" s="128" t="s">
        <v>134</v>
      </c>
      <c r="B2" s="128"/>
      <c r="C2" s="128"/>
      <c r="D2" s="112"/>
      <c r="E2" s="112"/>
      <c r="F2" s="112"/>
      <c r="G2" s="112"/>
      <c r="H2" s="112"/>
      <c r="I2" s="111"/>
      <c r="J2" s="111"/>
      <c r="K2" s="111"/>
      <c r="L2" s="111"/>
      <c r="M2" s="111"/>
      <c r="N2" s="111"/>
    </row>
    <row r="3" spans="1:14" ht="15" thickBot="1" x14ac:dyDescent="0.35">
      <c r="A3" s="7" t="str">
        <f>'[1]building count_area_volume'!A58</f>
        <v>LULC</v>
      </c>
      <c r="B3" s="18" t="str">
        <f>'[1]building count_area_volume'!B58</f>
        <v>ALAMEDA</v>
      </c>
      <c r="C3" s="18" t="str">
        <f>'[1]building count_area_volume'!C58</f>
        <v>CONTRA</v>
      </c>
      <c r="D3" s="18" t="str">
        <f>'[1]building count_area_volume'!D58</f>
        <v>FAIRFIELD</v>
      </c>
      <c r="E3" s="18" t="str">
        <f>'[1]building count_area_volume'!E58</f>
        <v>SANMATEO</v>
      </c>
      <c r="F3" s="18" t="str">
        <f>'[1]building count_area_volume'!F58</f>
        <v>SANTACLARA</v>
      </c>
      <c r="G3" s="18" t="str">
        <f>'[1]building count_area_volume'!G58</f>
        <v>VALLEJO</v>
      </c>
      <c r="H3" s="19" t="str">
        <f>'[1]building count_area_volume'!H58</f>
        <v>TOTAL LU</v>
      </c>
    </row>
    <row r="4" spans="1:14" x14ac:dyDescent="0.3">
      <c r="A4" s="1" t="str">
        <f>'[1]building count_area_volume'!A59</f>
        <v>com</v>
      </c>
      <c r="B4" s="93">
        <v>577.82136790140351</v>
      </c>
      <c r="C4" s="93">
        <v>461.2862604002699</v>
      </c>
      <c r="D4" s="93">
        <v>12.955052546483428</v>
      </c>
      <c r="E4" s="93">
        <v>118.38054065553344</v>
      </c>
      <c r="F4" s="93">
        <v>978.70229157940332</v>
      </c>
      <c r="G4" s="98">
        <v>2.6251153136531369</v>
      </c>
      <c r="H4" s="98">
        <v>2151.7706283967468</v>
      </c>
    </row>
    <row r="5" spans="1:14" x14ac:dyDescent="0.3">
      <c r="A5" s="1" t="str">
        <f>'[1]building count_area_volume'!A60</f>
        <v>ind</v>
      </c>
      <c r="B5" s="93">
        <v>447.28647110016607</v>
      </c>
      <c r="C5" s="93">
        <v>138.14436698898135</v>
      </c>
      <c r="D5" s="93"/>
      <c r="E5" s="93">
        <v>11.406008296737527</v>
      </c>
      <c r="F5" s="93">
        <v>776.88223122003956</v>
      </c>
      <c r="G5" s="99"/>
      <c r="H5" s="99">
        <v>1373.7190776059247</v>
      </c>
    </row>
    <row r="6" spans="1:14" x14ac:dyDescent="0.3">
      <c r="A6" s="1" t="str">
        <f>'[1]building count_area_volume'!A61</f>
        <v>inf</v>
      </c>
      <c r="B6" s="93">
        <v>18.366943712875241</v>
      </c>
      <c r="C6" s="93">
        <v>27.725477850236118</v>
      </c>
      <c r="D6" s="93"/>
      <c r="E6" s="93">
        <v>3.9748210731055016</v>
      </c>
      <c r="F6" s="93">
        <v>11.988747954905898</v>
      </c>
      <c r="G6" s="99"/>
      <c r="H6" s="99">
        <v>62.055990591122757</v>
      </c>
    </row>
    <row r="7" spans="1:14" ht="15" thickBot="1" x14ac:dyDescent="0.35">
      <c r="A7" s="1" t="str">
        <f>'[1]building count_area_volume'!A62</f>
        <v>mix</v>
      </c>
      <c r="B7" s="93">
        <v>0.58094955782817059</v>
      </c>
      <c r="C7" s="93"/>
      <c r="D7" s="93"/>
      <c r="E7" s="93">
        <v>10.887553374158548</v>
      </c>
      <c r="F7" s="93">
        <v>37.557167763946914</v>
      </c>
      <c r="G7" s="96"/>
      <c r="H7" s="96">
        <v>49.025670695933634</v>
      </c>
    </row>
    <row r="8" spans="1:14" ht="15" thickBot="1" x14ac:dyDescent="0.35">
      <c r="A8" s="2" t="str">
        <f>'[1]building count_area_volume'!A63</f>
        <v>TOTAL MRP</v>
      </c>
      <c r="B8" s="104">
        <v>1044.055732272273</v>
      </c>
      <c r="C8" s="102">
        <v>627.15610523948726</v>
      </c>
      <c r="D8" s="102">
        <v>12.955052546483428</v>
      </c>
      <c r="E8" s="102">
        <v>144.64892339953502</v>
      </c>
      <c r="F8" s="102">
        <v>1805.1304385182955</v>
      </c>
      <c r="G8" s="96">
        <v>2.6251153136531369</v>
      </c>
      <c r="H8" s="97">
        <f>SUM(H4:H7)</f>
        <v>3636.5713672897277</v>
      </c>
      <c r="I8" s="11"/>
    </row>
    <row r="10" spans="1:14" x14ac:dyDescent="0.3">
      <c r="A10" s="9" t="s">
        <v>84</v>
      </c>
      <c r="B10" s="22"/>
      <c r="C10" s="22"/>
      <c r="D10" s="22"/>
    </row>
    <row r="11" spans="1:14" ht="15" thickBot="1" x14ac:dyDescent="0.35">
      <c r="A11" s="128" t="s">
        <v>134</v>
      </c>
      <c r="B11" s="128"/>
      <c r="C11" s="128"/>
      <c r="D11" s="112"/>
      <c r="E11" s="112"/>
      <c r="F11" s="112"/>
      <c r="G11" s="112"/>
      <c r="H11" s="112"/>
      <c r="I11" s="111"/>
      <c r="J11" s="111"/>
      <c r="K11" s="111"/>
      <c r="L11" s="111"/>
      <c r="M11" s="111"/>
      <c r="N11" s="111"/>
    </row>
    <row r="12" spans="1:14" ht="15" thickBot="1" x14ac:dyDescent="0.35">
      <c r="A12" s="7" t="str">
        <f>'[1]building count_area_volume'!A67</f>
        <v>LULC</v>
      </c>
      <c r="B12" s="18" t="str">
        <f>'[1]building count_area_volume'!B67</f>
        <v>ALAMEDA</v>
      </c>
      <c r="C12" s="18" t="str">
        <f>'[1]building count_area_volume'!C67</f>
        <v>CONTRA</v>
      </c>
      <c r="D12" s="18" t="str">
        <f>'[1]building count_area_volume'!D67</f>
        <v>FAIRFIELD</v>
      </c>
      <c r="E12" s="18" t="str">
        <f>'[1]building count_area_volume'!E67</f>
        <v>SANMATEO</v>
      </c>
      <c r="F12" s="18" t="str">
        <f>'[1]building count_area_volume'!F67</f>
        <v>SANTACLARA</v>
      </c>
      <c r="G12" s="18" t="str">
        <f>'[1]building count_area_volume'!G67</f>
        <v>VALLEJO</v>
      </c>
      <c r="H12" s="19" t="str">
        <f>'[1]building count_area_volume'!H67</f>
        <v>TOTAL LU</v>
      </c>
      <c r="I12" s="10"/>
    </row>
    <row r="13" spans="1:14" x14ac:dyDescent="0.3">
      <c r="A13" s="1" t="str">
        <f>'[1]building count_area_volume'!A68</f>
        <v>com</v>
      </c>
      <c r="B13" s="92">
        <v>996.55193381293873</v>
      </c>
      <c r="C13" s="92">
        <v>941.89341128850924</v>
      </c>
      <c r="D13" s="93">
        <v>54.599838318512532</v>
      </c>
      <c r="E13" s="93">
        <v>288.03051254387697</v>
      </c>
      <c r="F13" s="93">
        <v>1931.8361633497657</v>
      </c>
      <c r="G13" s="93">
        <v>5.4312730627306278</v>
      </c>
      <c r="H13" s="89">
        <v>4218.3431323763334</v>
      </c>
      <c r="I13" s="3"/>
    </row>
    <row r="14" spans="1:14" x14ac:dyDescent="0.3">
      <c r="A14" s="1" t="str">
        <f>'[1]building count_area_volume'!A69</f>
        <v>ind</v>
      </c>
      <c r="B14" s="92">
        <v>639.04451361098756</v>
      </c>
      <c r="C14" s="92">
        <v>193.20890487969419</v>
      </c>
      <c r="D14" s="93"/>
      <c r="E14" s="93">
        <v>17.281830752632619</v>
      </c>
      <c r="F14" s="93">
        <v>1017.0549212929649</v>
      </c>
      <c r="G14" s="93"/>
      <c r="H14" s="106">
        <v>1866.5901705362792</v>
      </c>
      <c r="I14" s="3"/>
    </row>
    <row r="15" spans="1:14" x14ac:dyDescent="0.3">
      <c r="A15" s="1" t="str">
        <f>'[1]building count_area_volume'!A70</f>
        <v>inf</v>
      </c>
      <c r="B15" s="92">
        <v>8.937685505048778</v>
      </c>
      <c r="C15" s="92">
        <v>57.962671463908258</v>
      </c>
      <c r="D15" s="93"/>
      <c r="E15" s="93">
        <v>28.803051254387697</v>
      </c>
      <c r="F15" s="93">
        <v>17.045613206027344</v>
      </c>
      <c r="G15" s="93"/>
      <c r="H15" s="106">
        <v>112.74902142937208</v>
      </c>
      <c r="I15" s="3"/>
    </row>
    <row r="16" spans="1:14" ht="15" thickBot="1" x14ac:dyDescent="0.35">
      <c r="A16" s="1" t="str">
        <f>'[1]building count_area_volume'!A71</f>
        <v>mix</v>
      </c>
      <c r="B16" s="92">
        <v>4.468842752524389</v>
      </c>
      <c r="C16" s="92"/>
      <c r="D16" s="93"/>
      <c r="E16" s="93">
        <v>34.563661505265237</v>
      </c>
      <c r="F16" s="93">
        <v>51.136839618082028</v>
      </c>
      <c r="G16" s="93"/>
      <c r="H16" s="97">
        <v>90.169343875871647</v>
      </c>
      <c r="I16" s="3"/>
    </row>
    <row r="17" spans="1:14" ht="15" thickBot="1" x14ac:dyDescent="0.35">
      <c r="A17" s="2" t="str">
        <f>'[1]building count_area_volume'!A72</f>
        <v>TOTAL MRP</v>
      </c>
      <c r="B17" s="103">
        <v>1649.0029756814995</v>
      </c>
      <c r="C17" s="100">
        <v>1193.0649876321118</v>
      </c>
      <c r="D17" s="100">
        <v>54.599838318512532</v>
      </c>
      <c r="E17" s="100">
        <v>368.67905605616255</v>
      </c>
      <c r="F17" s="100">
        <v>3017.0735374668398</v>
      </c>
      <c r="G17" s="100">
        <v>5.4312730627306278</v>
      </c>
      <c r="H17" s="89">
        <f>SUM(H13:H16)</f>
        <v>6287.851668217857</v>
      </c>
      <c r="I17" s="3"/>
      <c r="M17" s="8"/>
      <c r="N17" s="8"/>
    </row>
    <row r="18" spans="1:14" ht="15" thickBot="1" x14ac:dyDescent="0.35">
      <c r="A18" s="14" t="str">
        <f>'[1]building count_area_volume'!A73</f>
        <v>AREA SQ MI</v>
      </c>
      <c r="B18" s="104">
        <v>742.93281250000007</v>
      </c>
      <c r="C18" s="102">
        <v>743.25625000000002</v>
      </c>
      <c r="D18" s="102">
        <v>30.053125000000001</v>
      </c>
      <c r="E18" s="102">
        <v>452.61406250000005</v>
      </c>
      <c r="F18" s="102">
        <v>1296.7062500000002</v>
      </c>
      <c r="G18" s="102">
        <v>32.703125</v>
      </c>
      <c r="H18" s="90">
        <f>SUM(B18:G18)</f>
        <v>3298.265625</v>
      </c>
      <c r="I18" s="4"/>
      <c r="M18" s="8"/>
      <c r="N18" s="8"/>
    </row>
    <row r="19" spans="1:14" ht="15" thickBot="1" x14ac:dyDescent="0.35">
      <c r="A19" s="2" t="str">
        <f>'[1]building count_area_volume'!A74</f>
        <v>COUNT/SQ MI</v>
      </c>
      <c r="B19" s="105">
        <v>2.2195856044270483</v>
      </c>
      <c r="C19" s="101">
        <v>1.6051866198664482</v>
      </c>
      <c r="D19" s="101">
        <v>1.8167774006367901</v>
      </c>
      <c r="E19" s="101">
        <v>0.81455501850688194</v>
      </c>
      <c r="F19" s="101">
        <v>2.3267209034172844</v>
      </c>
      <c r="G19" s="101">
        <v>0.16607810607489737</v>
      </c>
      <c r="H19" s="97">
        <f>SUM(B19:G19)</f>
        <v>8.9489036529293493</v>
      </c>
      <c r="I19" s="3"/>
    </row>
    <row r="21" spans="1:14" x14ac:dyDescent="0.3">
      <c r="A21" s="9" t="s">
        <v>131</v>
      </c>
      <c r="B21" s="24"/>
    </row>
    <row r="22" spans="1:14" s="111" customFormat="1" ht="15" thickBot="1" x14ac:dyDescent="0.35">
      <c r="A22" s="110" t="s">
        <v>136</v>
      </c>
      <c r="B22" s="114" t="s">
        <v>137</v>
      </c>
      <c r="C22" s="31"/>
      <c r="D22" s="31"/>
      <c r="E22" s="31"/>
      <c r="F22" s="31"/>
      <c r="G22" s="31"/>
      <c r="H22" s="31"/>
    </row>
    <row r="23" spans="1:14" ht="15" thickBot="1" x14ac:dyDescent="0.35">
      <c r="A23" s="7" t="str">
        <f t="shared" ref="A23:G23" si="0">A12</f>
        <v>LULC</v>
      </c>
      <c r="B23" s="18" t="str">
        <f t="shared" si="0"/>
        <v>ALAMEDA</v>
      </c>
      <c r="C23" s="18" t="str">
        <f t="shared" si="0"/>
        <v>CONTRA</v>
      </c>
      <c r="D23" s="18" t="str">
        <f t="shared" si="0"/>
        <v>FAIRFIELD</v>
      </c>
      <c r="E23" s="18" t="str">
        <f t="shared" si="0"/>
        <v>SANMATEO</v>
      </c>
      <c r="F23" s="18" t="str">
        <f t="shared" si="0"/>
        <v>SANTACLARA</v>
      </c>
      <c r="G23" s="18" t="str">
        <f t="shared" si="0"/>
        <v>VALLEJO</v>
      </c>
      <c r="H23" s="25"/>
    </row>
    <row r="24" spans="1:14" x14ac:dyDescent="0.3">
      <c r="A24" s="1" t="s">
        <v>53</v>
      </c>
      <c r="B24" s="56">
        <f>B4/B13*43560</f>
        <v>25256.986547085202</v>
      </c>
      <c r="C24" s="56">
        <f t="shared" ref="B24:G27" si="1">C4/C13*43560</f>
        <v>21333.23076923077</v>
      </c>
      <c r="D24" s="56">
        <f t="shared" si="1"/>
        <v>10335.6</v>
      </c>
      <c r="E24" s="56">
        <f t="shared" si="1"/>
        <v>17903.16</v>
      </c>
      <c r="F24" s="56">
        <f>F4/F13*43560</f>
        <v>22068.264705882353</v>
      </c>
      <c r="G24" s="56">
        <f t="shared" si="1"/>
        <v>21054</v>
      </c>
      <c r="H24" s="26"/>
    </row>
    <row r="25" spans="1:14" x14ac:dyDescent="0.3">
      <c r="A25" s="1" t="s">
        <v>5</v>
      </c>
      <c r="B25" s="56">
        <f>B5/B14*43560</f>
        <v>30488.95384615385</v>
      </c>
      <c r="C25" s="56">
        <f t="shared" si="1"/>
        <v>31145.399999999998</v>
      </c>
      <c r="E25" s="56">
        <f t="shared" si="1"/>
        <v>28749.599999999995</v>
      </c>
      <c r="F25" s="56">
        <f t="shared" si="1"/>
        <v>33273.512849162005</v>
      </c>
      <c r="H25" s="26"/>
    </row>
    <row r="26" spans="1:14" x14ac:dyDescent="0.3">
      <c r="A26" s="1" t="s">
        <v>40</v>
      </c>
      <c r="B26" s="56">
        <f t="shared" si="1"/>
        <v>89515.8</v>
      </c>
      <c r="C26" s="56">
        <f>C6/C15*43560</f>
        <v>20836.2</v>
      </c>
      <c r="E26" s="56">
        <f t="shared" si="1"/>
        <v>6011.28</v>
      </c>
      <c r="F26" s="56">
        <f t="shared" si="1"/>
        <v>30637.200000000001</v>
      </c>
      <c r="H26" s="26"/>
    </row>
    <row r="27" spans="1:14" ht="15" thickBot="1" x14ac:dyDescent="0.35">
      <c r="A27" s="1" t="s">
        <v>41</v>
      </c>
      <c r="B27" s="56">
        <f t="shared" si="1"/>
        <v>5662.8</v>
      </c>
      <c r="E27" s="56">
        <f t="shared" si="1"/>
        <v>13721.399999999998</v>
      </c>
      <c r="F27" s="56">
        <f t="shared" si="1"/>
        <v>31992.400000000001</v>
      </c>
      <c r="H27" s="26"/>
    </row>
    <row r="28" spans="1:14" x14ac:dyDescent="0.3">
      <c r="A28" s="6"/>
      <c r="B28" s="21"/>
      <c r="C28" s="21"/>
      <c r="D28" s="21"/>
      <c r="E28" s="21"/>
      <c r="F28" s="21"/>
      <c r="G28" s="21"/>
      <c r="H28" s="27"/>
    </row>
    <row r="29" spans="1:14" s="8" customFormat="1" x14ac:dyDescent="0.3">
      <c r="A29" s="9" t="s">
        <v>117</v>
      </c>
      <c r="B29" s="24"/>
      <c r="C29" s="24"/>
      <c r="D29" s="24"/>
      <c r="E29" s="24"/>
      <c r="F29" s="24"/>
      <c r="G29" s="24"/>
      <c r="H29" s="24"/>
    </row>
    <row r="30" spans="1:14" s="8" customFormat="1" x14ac:dyDescent="0.3">
      <c r="A30" s="9" t="s">
        <v>110</v>
      </c>
      <c r="B30" s="115">
        <v>0.46</v>
      </c>
      <c r="C30" s="116" t="s">
        <v>111</v>
      </c>
      <c r="D30" s="24"/>
      <c r="E30" s="115"/>
      <c r="F30" s="24"/>
      <c r="G30" s="24"/>
      <c r="H30" s="24"/>
    </row>
    <row r="31" spans="1:14" s="8" customFormat="1" ht="15" thickBot="1" x14ac:dyDescent="0.35">
      <c r="A31" s="9" t="s">
        <v>116</v>
      </c>
      <c r="B31" s="116" t="s">
        <v>69</v>
      </c>
      <c r="C31" s="24"/>
      <c r="D31" s="24"/>
      <c r="E31" s="115"/>
      <c r="F31" s="24"/>
      <c r="G31" s="24"/>
      <c r="H31" s="24"/>
    </row>
    <row r="32" spans="1:14" ht="15" thickBot="1" x14ac:dyDescent="0.35">
      <c r="A32" s="33" t="str">
        <f t="shared" ref="A32:H32" si="2">A12</f>
        <v>LULC</v>
      </c>
      <c r="B32" s="34" t="str">
        <f t="shared" si="2"/>
        <v>ALAMEDA</v>
      </c>
      <c r="C32" s="34" t="str">
        <f t="shared" si="2"/>
        <v>CONTRA</v>
      </c>
      <c r="D32" s="34" t="str">
        <f t="shared" si="2"/>
        <v>FAIRFIELD</v>
      </c>
      <c r="E32" s="34" t="str">
        <f t="shared" si="2"/>
        <v>SANMATEO</v>
      </c>
      <c r="F32" s="34" t="str">
        <f t="shared" si="2"/>
        <v>SANTACLARA</v>
      </c>
      <c r="G32" s="34" t="str">
        <f t="shared" si="2"/>
        <v>VALLEJO</v>
      </c>
      <c r="H32" s="35" t="str">
        <f t="shared" si="2"/>
        <v>TOTAL LU</v>
      </c>
    </row>
    <row r="33" spans="1:8" x14ac:dyDescent="0.3">
      <c r="A33" s="14" t="s">
        <v>53</v>
      </c>
      <c r="B33" s="24">
        <f t="shared" ref="B33:G36" si="3">B13*$B$30</f>
        <v>458.41388955395183</v>
      </c>
      <c r="C33" s="24">
        <f t="shared" si="3"/>
        <v>433.27096919271429</v>
      </c>
      <c r="D33" s="24">
        <f t="shared" si="3"/>
        <v>25.115925626515764</v>
      </c>
      <c r="E33" s="24">
        <f t="shared" si="3"/>
        <v>132.49403577018342</v>
      </c>
      <c r="F33" s="24">
        <f t="shared" si="3"/>
        <v>888.64463514089221</v>
      </c>
      <c r="G33" s="24">
        <f t="shared" si="3"/>
        <v>2.498385608856089</v>
      </c>
      <c r="H33" s="36">
        <f>SUM(B33:G33)</f>
        <v>1940.4378408931136</v>
      </c>
    </row>
    <row r="34" spans="1:8" x14ac:dyDescent="0.3">
      <c r="A34" s="14" t="s">
        <v>5</v>
      </c>
      <c r="B34" s="24">
        <f t="shared" si="3"/>
        <v>293.96047626105428</v>
      </c>
      <c r="C34" s="24">
        <f t="shared" si="3"/>
        <v>88.876096244659337</v>
      </c>
      <c r="D34" s="24">
        <f t="shared" si="3"/>
        <v>0</v>
      </c>
      <c r="E34" s="24">
        <f t="shared" si="3"/>
        <v>7.949642146211005</v>
      </c>
      <c r="F34" s="24">
        <f t="shared" si="3"/>
        <v>467.84526379476387</v>
      </c>
      <c r="G34" s="24">
        <f t="shared" si="3"/>
        <v>0</v>
      </c>
      <c r="H34" s="36">
        <f>SUM(B34:G34)</f>
        <v>858.63147844668856</v>
      </c>
    </row>
    <row r="35" spans="1:8" x14ac:dyDescent="0.3">
      <c r="A35" s="14" t="s">
        <v>40</v>
      </c>
      <c r="B35" s="24">
        <f t="shared" si="3"/>
        <v>4.1113353323224384</v>
      </c>
      <c r="C35" s="24">
        <f t="shared" si="3"/>
        <v>26.6628288733978</v>
      </c>
      <c r="D35" s="24">
        <f t="shared" si="3"/>
        <v>0</v>
      </c>
      <c r="E35" s="24">
        <f t="shared" si="3"/>
        <v>13.249403577018342</v>
      </c>
      <c r="F35" s="24">
        <f t="shared" si="3"/>
        <v>7.8409820747725787</v>
      </c>
      <c r="G35" s="24">
        <f t="shared" si="3"/>
        <v>0</v>
      </c>
      <c r="H35" s="36">
        <f>SUM(B35:G35)</f>
        <v>51.864549857511157</v>
      </c>
    </row>
    <row r="36" spans="1:8" ht="15" thickBot="1" x14ac:dyDescent="0.35">
      <c r="A36" s="14" t="s">
        <v>41</v>
      </c>
      <c r="B36" s="24">
        <f t="shared" si="3"/>
        <v>2.0556676661612192</v>
      </c>
      <c r="C36" s="24">
        <f t="shared" si="3"/>
        <v>0</v>
      </c>
      <c r="D36" s="24">
        <f t="shared" si="3"/>
        <v>0</v>
      </c>
      <c r="E36" s="24">
        <f t="shared" si="3"/>
        <v>15.89928429242201</v>
      </c>
      <c r="F36" s="24">
        <f t="shared" si="3"/>
        <v>23.522946224317735</v>
      </c>
      <c r="G36" s="24">
        <f t="shared" si="3"/>
        <v>0</v>
      </c>
      <c r="H36" s="36">
        <f>SUM(B36:G36)</f>
        <v>41.477898182900965</v>
      </c>
    </row>
    <row r="37" spans="1:8" ht="15" thickBot="1" x14ac:dyDescent="0.35">
      <c r="A37" s="5" t="s">
        <v>76</v>
      </c>
      <c r="B37" s="37">
        <f t="shared" ref="B37:G37" si="4">SUM(B33:B36)</f>
        <v>758.54136881348973</v>
      </c>
      <c r="C37" s="37">
        <f t="shared" si="4"/>
        <v>548.80989431077137</v>
      </c>
      <c r="D37" s="37">
        <f t="shared" si="4"/>
        <v>25.115925626515764</v>
      </c>
      <c r="E37" s="37">
        <f t="shared" si="4"/>
        <v>169.59236578583477</v>
      </c>
      <c r="F37" s="37">
        <f t="shared" si="4"/>
        <v>1387.8538272347466</v>
      </c>
      <c r="G37" s="37">
        <f t="shared" si="4"/>
        <v>2.498385608856089</v>
      </c>
      <c r="H37" s="39">
        <f>SUM(B37:G37)</f>
        <v>2892.4117673802143</v>
      </c>
    </row>
    <row r="38" spans="1:8" ht="15" thickBot="1" x14ac:dyDescent="0.35">
      <c r="A38" s="14" t="s">
        <v>28</v>
      </c>
      <c r="B38" s="24">
        <f t="shared" ref="B38:G38" si="5">B18</f>
        <v>742.93281250000007</v>
      </c>
      <c r="C38" s="24">
        <f t="shared" si="5"/>
        <v>743.25625000000002</v>
      </c>
      <c r="D38" s="24">
        <f t="shared" si="5"/>
        <v>30.053125000000001</v>
      </c>
      <c r="E38" s="24">
        <f t="shared" si="5"/>
        <v>452.61406250000005</v>
      </c>
      <c r="F38" s="24">
        <f t="shared" si="5"/>
        <v>1296.7062500000002</v>
      </c>
      <c r="G38" s="24">
        <f t="shared" si="5"/>
        <v>32.703125</v>
      </c>
      <c r="H38" s="38"/>
    </row>
    <row r="39" spans="1:8" ht="15" thickBot="1" x14ac:dyDescent="0.35">
      <c r="A39" s="5" t="s">
        <v>77</v>
      </c>
      <c r="B39" s="46">
        <f t="shared" ref="B39:G39" si="6">B37/B38</f>
        <v>1.0210093780364422</v>
      </c>
      <c r="C39" s="46">
        <f t="shared" si="6"/>
        <v>0.73838584513856609</v>
      </c>
      <c r="D39" s="46">
        <f t="shared" si="6"/>
        <v>0.83571760429292341</v>
      </c>
      <c r="E39" s="46">
        <f t="shared" si="6"/>
        <v>0.37469530851316568</v>
      </c>
      <c r="F39" s="46">
        <f t="shared" si="6"/>
        <v>1.0702916155719513</v>
      </c>
      <c r="G39" s="46">
        <f t="shared" si="6"/>
        <v>7.6395928794452797E-2</v>
      </c>
      <c r="H39" s="38"/>
    </row>
    <row r="41" spans="1:8" s="8" customFormat="1" x14ac:dyDescent="0.3">
      <c r="A41" s="9" t="s">
        <v>100</v>
      </c>
      <c r="B41" s="24"/>
      <c r="C41" s="24"/>
      <c r="D41" s="24"/>
      <c r="E41" s="24"/>
      <c r="F41" s="24"/>
      <c r="G41" s="24"/>
      <c r="H41" s="24"/>
    </row>
    <row r="42" spans="1:8" s="8" customFormat="1" x14ac:dyDescent="0.3">
      <c r="A42" s="9" t="s">
        <v>110</v>
      </c>
      <c r="B42" s="117">
        <v>1.46</v>
      </c>
      <c r="C42" s="116" t="s">
        <v>102</v>
      </c>
      <c r="D42" s="24"/>
      <c r="E42" s="24"/>
      <c r="F42" s="24"/>
      <c r="G42" s="24"/>
      <c r="H42" s="24"/>
    </row>
    <row r="43" spans="1:8" s="8" customFormat="1" x14ac:dyDescent="0.3">
      <c r="A43" s="9" t="s">
        <v>116</v>
      </c>
      <c r="B43" s="116" t="s">
        <v>97</v>
      </c>
      <c r="C43" s="24"/>
      <c r="D43" s="24"/>
      <c r="E43" s="24"/>
      <c r="F43" s="24"/>
      <c r="G43" s="24"/>
      <c r="H43" s="24"/>
    </row>
    <row r="44" spans="1:8" s="8" customFormat="1" x14ac:dyDescent="0.3">
      <c r="A44" s="9"/>
      <c r="B44" s="24"/>
      <c r="C44" s="24"/>
      <c r="D44" s="24"/>
      <c r="E44" s="24"/>
      <c r="F44" s="24"/>
      <c r="G44" s="24"/>
      <c r="H44" s="24"/>
    </row>
    <row r="45" spans="1:8" s="8" customFormat="1" x14ac:dyDescent="0.3">
      <c r="A45" s="9" t="s">
        <v>110</v>
      </c>
      <c r="B45" s="118">
        <v>10.3</v>
      </c>
      <c r="C45" s="116" t="s">
        <v>103</v>
      </c>
      <c r="D45" s="24"/>
      <c r="E45" s="24"/>
      <c r="F45" s="24"/>
      <c r="G45" s="24"/>
      <c r="H45" s="24"/>
    </row>
    <row r="46" spans="1:8" s="8" customFormat="1" ht="15" thickBot="1" x14ac:dyDescent="0.35">
      <c r="A46" s="9" t="s">
        <v>116</v>
      </c>
      <c r="B46" s="116" t="s">
        <v>57</v>
      </c>
      <c r="C46" s="24"/>
      <c r="D46" s="24"/>
      <c r="E46" s="24"/>
      <c r="F46" s="24"/>
      <c r="G46" s="24"/>
      <c r="H46" s="24"/>
    </row>
    <row r="47" spans="1:8" ht="15" thickBot="1" x14ac:dyDescent="0.35">
      <c r="A47" s="7" t="str">
        <f t="shared" ref="A47:H47" si="7">A32</f>
        <v>LULC</v>
      </c>
      <c r="B47" s="18" t="str">
        <f t="shared" si="7"/>
        <v>ALAMEDA</v>
      </c>
      <c r="C47" s="18" t="str">
        <f t="shared" si="7"/>
        <v>CONTRA</v>
      </c>
      <c r="D47" s="18" t="str">
        <f t="shared" si="7"/>
        <v>FAIRFIELD</v>
      </c>
      <c r="E47" s="18" t="str">
        <f t="shared" si="7"/>
        <v>SANMATEO</v>
      </c>
      <c r="F47" s="18" t="str">
        <f t="shared" si="7"/>
        <v>SANTACLARA</v>
      </c>
      <c r="G47" s="18" t="str">
        <f t="shared" si="7"/>
        <v>VALLEJO</v>
      </c>
      <c r="H47" s="19" t="str">
        <f t="shared" si="7"/>
        <v>TOTAL LU</v>
      </c>
    </row>
    <row r="48" spans="1:8" x14ac:dyDescent="0.3">
      <c r="A48" s="1" t="s">
        <v>53</v>
      </c>
      <c r="B48" s="56">
        <f t="shared" ref="B48:G51" si="8">B33*B24*$B$42*$B$45</f>
        <v>174112271.45269299</v>
      </c>
      <c r="C48" s="56">
        <f t="shared" si="8"/>
        <v>138997280.21465981</v>
      </c>
      <c r="D48" s="56">
        <f t="shared" si="8"/>
        <v>3903686.7636956512</v>
      </c>
      <c r="E48" s="56">
        <f t="shared" si="8"/>
        <v>35671067.174604453</v>
      </c>
      <c r="F48" s="56">
        <f t="shared" si="8"/>
        <v>294907887.67770636</v>
      </c>
      <c r="G48" s="56">
        <f t="shared" si="8"/>
        <v>791013.99753597798</v>
      </c>
      <c r="H48" s="20">
        <f>SUM(B48:G48)</f>
        <v>648383207.28089523</v>
      </c>
    </row>
    <row r="49" spans="1:8" x14ac:dyDescent="0.3">
      <c r="A49" s="1" t="s">
        <v>5</v>
      </c>
      <c r="B49" s="56">
        <f t="shared" si="8"/>
        <v>134778787.70069635</v>
      </c>
      <c r="C49" s="56">
        <f t="shared" si="8"/>
        <v>41626410.619259372</v>
      </c>
      <c r="D49" s="56">
        <f t="shared" si="8"/>
        <v>0</v>
      </c>
      <c r="E49" s="56">
        <f t="shared" si="8"/>
        <v>3436920.3409107933</v>
      </c>
      <c r="F49" s="56">
        <f t="shared" si="8"/>
        <v>234094371.44947916</v>
      </c>
      <c r="G49" s="56">
        <f t="shared" si="8"/>
        <v>0</v>
      </c>
      <c r="H49" s="20">
        <f>SUM(B49:G49)</f>
        <v>413936490.11034566</v>
      </c>
    </row>
    <row r="50" spans="1:8" x14ac:dyDescent="0.3">
      <c r="A50" s="1" t="s">
        <v>40</v>
      </c>
      <c r="B50" s="56">
        <f t="shared" si="8"/>
        <v>5534427.1900275964</v>
      </c>
      <c r="C50" s="56">
        <f t="shared" si="8"/>
        <v>8354391.5019073002</v>
      </c>
      <c r="D50" s="56">
        <f t="shared" si="8"/>
        <v>0</v>
      </c>
      <c r="E50" s="56">
        <f t="shared" si="8"/>
        <v>1197714.6642567918</v>
      </c>
      <c r="F50" s="56">
        <f t="shared" si="8"/>
        <v>3612514.6182871438</v>
      </c>
      <c r="G50" s="56">
        <f t="shared" si="8"/>
        <v>0</v>
      </c>
      <c r="H50" s="20">
        <f>SUM(B50:G50)</f>
        <v>18699047.974478833</v>
      </c>
    </row>
    <row r="51" spans="1:8" ht="15" thickBot="1" x14ac:dyDescent="0.35">
      <c r="A51" s="1" t="s">
        <v>41</v>
      </c>
      <c r="B51" s="56">
        <f t="shared" si="8"/>
        <v>175054.87462374396</v>
      </c>
      <c r="C51" s="56">
        <f t="shared" si="8"/>
        <v>0</v>
      </c>
      <c r="D51" s="56">
        <f t="shared" si="8"/>
        <v>0</v>
      </c>
      <c r="E51" s="56">
        <f t="shared" si="8"/>
        <v>3280696.6890512118</v>
      </c>
      <c r="F51" s="56">
        <f t="shared" si="8"/>
        <v>11316929.680984844</v>
      </c>
      <c r="G51" s="56">
        <f t="shared" si="8"/>
        <v>0</v>
      </c>
      <c r="H51" s="20">
        <f>SUM(B51:G51)</f>
        <v>14772681.2446598</v>
      </c>
    </row>
    <row r="52" spans="1:8" ht="15" thickBot="1" x14ac:dyDescent="0.35">
      <c r="A52" s="2" t="s">
        <v>76</v>
      </c>
      <c r="B52" s="23">
        <f t="shared" ref="B52:G52" si="9">SUM(B48:B51)</f>
        <v>314600541.21804065</v>
      </c>
      <c r="C52" s="23">
        <f t="shared" si="9"/>
        <v>188978082.33582646</v>
      </c>
      <c r="D52" s="23">
        <f t="shared" si="9"/>
        <v>3903686.7636956512</v>
      </c>
      <c r="E52" s="23">
        <f t="shared" si="9"/>
        <v>43586398.868823245</v>
      </c>
      <c r="F52" s="23">
        <f t="shared" si="9"/>
        <v>543931703.42645752</v>
      </c>
      <c r="G52" s="23">
        <f t="shared" si="9"/>
        <v>791013.99753597798</v>
      </c>
      <c r="H52" s="28">
        <f>SUM(B52:G52)</f>
        <v>1095791426.6103795</v>
      </c>
    </row>
    <row r="54" spans="1:8" ht="15" thickBot="1" x14ac:dyDescent="0.35">
      <c r="A54" s="9" t="s">
        <v>101</v>
      </c>
    </row>
    <row r="55" spans="1:8" ht="15" thickBot="1" x14ac:dyDescent="0.35">
      <c r="A55" s="7" t="s">
        <v>51</v>
      </c>
      <c r="B55" s="18" t="s">
        <v>52</v>
      </c>
      <c r="C55" s="18" t="s">
        <v>42</v>
      </c>
      <c r="D55" s="18" t="s">
        <v>46</v>
      </c>
      <c r="E55" s="18" t="s">
        <v>45</v>
      </c>
      <c r="F55" s="18" t="s">
        <v>44</v>
      </c>
      <c r="G55" s="18" t="s">
        <v>43</v>
      </c>
      <c r="H55" s="19" t="s">
        <v>128</v>
      </c>
    </row>
    <row r="56" spans="1:8" x14ac:dyDescent="0.3">
      <c r="A56" s="1" t="s">
        <v>53</v>
      </c>
      <c r="B56" s="56">
        <f>B48*0.028</f>
        <v>4875143.6006754041</v>
      </c>
      <c r="C56" s="56">
        <f t="shared" ref="B56:G59" si="10">C48*0.028</f>
        <v>3891923.846010475</v>
      </c>
      <c r="D56" s="56">
        <f t="shared" si="10"/>
        <v>109303.22938347823</v>
      </c>
      <c r="E56" s="56">
        <f t="shared" si="10"/>
        <v>998789.8808889247</v>
      </c>
      <c r="F56" s="56">
        <f t="shared" si="10"/>
        <v>8257420.8549757786</v>
      </c>
      <c r="G56" s="56">
        <f t="shared" si="10"/>
        <v>22148.391931007383</v>
      </c>
      <c r="H56" s="20">
        <f>SUM(B56:G56)</f>
        <v>18154729.803865068</v>
      </c>
    </row>
    <row r="57" spans="1:8" x14ac:dyDescent="0.3">
      <c r="A57" s="1" t="s">
        <v>5</v>
      </c>
      <c r="B57" s="56">
        <f>B49*0.028</f>
        <v>3773806.0556194978</v>
      </c>
      <c r="C57" s="56">
        <f t="shared" si="10"/>
        <v>1165539.4973392624</v>
      </c>
      <c r="D57" s="56">
        <f t="shared" si="10"/>
        <v>0</v>
      </c>
      <c r="E57" s="56">
        <f t="shared" si="10"/>
        <v>96233.769545502219</v>
      </c>
      <c r="F57" s="56">
        <f t="shared" si="10"/>
        <v>6554642.4005854167</v>
      </c>
      <c r="G57" s="56">
        <f t="shared" si="10"/>
        <v>0</v>
      </c>
      <c r="H57" s="20">
        <f>SUM(B57:G57)</f>
        <v>11590221.72308968</v>
      </c>
    </row>
    <row r="58" spans="1:8" x14ac:dyDescent="0.3">
      <c r="A58" s="1" t="s">
        <v>40</v>
      </c>
      <c r="B58" s="56">
        <f t="shared" si="10"/>
        <v>154963.96132077271</v>
      </c>
      <c r="C58" s="56">
        <f t="shared" si="10"/>
        <v>233922.96205340442</v>
      </c>
      <c r="D58" s="56">
        <f t="shared" si="10"/>
        <v>0</v>
      </c>
      <c r="E58" s="56">
        <f t="shared" si="10"/>
        <v>33536.010599190173</v>
      </c>
      <c r="F58" s="56">
        <f t="shared" si="10"/>
        <v>101150.40931204002</v>
      </c>
      <c r="G58" s="56">
        <f t="shared" si="10"/>
        <v>0</v>
      </c>
      <c r="H58" s="20">
        <f>SUM(B58:G58)</f>
        <v>523573.34328540735</v>
      </c>
    </row>
    <row r="59" spans="1:8" ht="15" thickBot="1" x14ac:dyDescent="0.35">
      <c r="A59" s="1" t="s">
        <v>41</v>
      </c>
      <c r="B59" s="56">
        <f t="shared" si="10"/>
        <v>4901.536489464831</v>
      </c>
      <c r="C59" s="56">
        <f t="shared" si="10"/>
        <v>0</v>
      </c>
      <c r="D59" s="56">
        <f t="shared" si="10"/>
        <v>0</v>
      </c>
      <c r="E59" s="56">
        <f t="shared" si="10"/>
        <v>91859.507293433926</v>
      </c>
      <c r="F59" s="56">
        <f>F51*0.028</f>
        <v>316874.03106757562</v>
      </c>
      <c r="G59" s="56">
        <f t="shared" si="10"/>
        <v>0</v>
      </c>
      <c r="H59" s="20">
        <f>SUM(B59:G59)</f>
        <v>413635.07485047437</v>
      </c>
    </row>
    <row r="60" spans="1:8" ht="15" thickBot="1" x14ac:dyDescent="0.35">
      <c r="A60" s="2" t="s">
        <v>76</v>
      </c>
      <c r="B60" s="23">
        <f t="shared" ref="B60:G60" si="11">SUM(B56:B59)</f>
        <v>8808815.154105138</v>
      </c>
      <c r="C60" s="23">
        <f t="shared" si="11"/>
        <v>5291386.3054031413</v>
      </c>
      <c r="D60" s="23">
        <f t="shared" si="11"/>
        <v>109303.22938347823</v>
      </c>
      <c r="E60" s="23">
        <f t="shared" si="11"/>
        <v>1220419.168327051</v>
      </c>
      <c r="F60" s="23">
        <f t="shared" si="11"/>
        <v>15230087.695940811</v>
      </c>
      <c r="G60" s="23">
        <f t="shared" si="11"/>
        <v>22148.391931007383</v>
      </c>
      <c r="H60" s="28">
        <f>SUM(B60:G60)</f>
        <v>30682159.945090625</v>
      </c>
    </row>
    <row r="62" spans="1:8" s="8" customFormat="1" x14ac:dyDescent="0.3">
      <c r="A62" s="9" t="s">
        <v>99</v>
      </c>
      <c r="B62" s="24"/>
      <c r="C62" s="24"/>
      <c r="D62" s="24"/>
      <c r="E62" s="24"/>
      <c r="F62" s="24"/>
      <c r="G62" s="24"/>
      <c r="H62" s="24"/>
    </row>
    <row r="63" spans="1:8" s="8" customFormat="1" x14ac:dyDescent="0.3">
      <c r="A63" s="9" t="s">
        <v>110</v>
      </c>
      <c r="B63" s="124">
        <v>55</v>
      </c>
      <c r="C63" s="116" t="s">
        <v>98</v>
      </c>
      <c r="D63" s="24"/>
      <c r="E63" s="24"/>
      <c r="F63" s="24"/>
      <c r="G63" s="24"/>
      <c r="H63" s="24"/>
    </row>
    <row r="64" spans="1:8" s="8" customFormat="1" ht="15" thickBot="1" x14ac:dyDescent="0.35">
      <c r="A64" s="9" t="s">
        <v>108</v>
      </c>
      <c r="B64" s="116" t="s">
        <v>109</v>
      </c>
      <c r="C64" s="24"/>
      <c r="D64" s="24"/>
      <c r="E64" s="24"/>
      <c r="F64" s="24"/>
      <c r="G64" s="24"/>
      <c r="H64" s="24"/>
    </row>
    <row r="65" spans="1:8" ht="15" thickBot="1" x14ac:dyDescent="0.35">
      <c r="A65" s="7" t="s">
        <v>51</v>
      </c>
      <c r="B65" s="18" t="s">
        <v>52</v>
      </c>
      <c r="C65" s="18" t="s">
        <v>42</v>
      </c>
      <c r="D65" s="18" t="s">
        <v>46</v>
      </c>
      <c r="E65" s="18" t="s">
        <v>45</v>
      </c>
      <c r="F65" s="18" t="s">
        <v>44</v>
      </c>
      <c r="G65" s="18" t="s">
        <v>43</v>
      </c>
      <c r="H65" s="19" t="s">
        <v>128</v>
      </c>
    </row>
    <row r="66" spans="1:8" x14ac:dyDescent="0.3">
      <c r="A66" s="1" t="s">
        <v>53</v>
      </c>
      <c r="B66" s="56">
        <f>B56*$B$63</f>
        <v>268132898.03714722</v>
      </c>
      <c r="C66" s="56">
        <f t="shared" ref="C66:G66" si="12">C56*$B$63</f>
        <v>214055811.53057611</v>
      </c>
      <c r="D66" s="56">
        <f t="shared" si="12"/>
        <v>6011677.6160913026</v>
      </c>
      <c r="E66" s="56">
        <f t="shared" si="12"/>
        <v>54933443.448890857</v>
      </c>
      <c r="F66" s="56">
        <f t="shared" si="12"/>
        <v>454158147.02366781</v>
      </c>
      <c r="G66" s="56">
        <f t="shared" si="12"/>
        <v>1218161.5562054061</v>
      </c>
      <c r="H66" s="20">
        <f>SUM(B66:G66)</f>
        <v>998510139.21257865</v>
      </c>
    </row>
    <row r="67" spans="1:8" x14ac:dyDescent="0.3">
      <c r="A67" s="1" t="s">
        <v>5</v>
      </c>
      <c r="B67" s="56">
        <f t="shared" ref="B67:G69" si="13">B57*$B$63</f>
        <v>207559333.05907238</v>
      </c>
      <c r="C67" s="56">
        <f t="shared" si="13"/>
        <v>64104672.353659429</v>
      </c>
      <c r="D67" s="56">
        <f t="shared" si="13"/>
        <v>0</v>
      </c>
      <c r="E67" s="56">
        <f t="shared" si="13"/>
        <v>5292857.3250026219</v>
      </c>
      <c r="F67" s="56">
        <f t="shared" si="13"/>
        <v>360505332.03219789</v>
      </c>
      <c r="G67" s="56">
        <f t="shared" si="13"/>
        <v>0</v>
      </c>
      <c r="H67" s="20">
        <f>SUM(B67:G67)</f>
        <v>637462194.76993227</v>
      </c>
    </row>
    <row r="68" spans="1:8" x14ac:dyDescent="0.3">
      <c r="A68" s="1" t="s">
        <v>40</v>
      </c>
      <c r="B68" s="56">
        <f t="shared" si="13"/>
        <v>8523017.8726424985</v>
      </c>
      <c r="C68" s="56">
        <f t="shared" si="13"/>
        <v>12865762.912937243</v>
      </c>
      <c r="D68" s="56">
        <f t="shared" si="13"/>
        <v>0</v>
      </c>
      <c r="E68" s="56">
        <f t="shared" si="13"/>
        <v>1844480.5829554596</v>
      </c>
      <c r="F68" s="56">
        <f t="shared" si="13"/>
        <v>5563272.5121622011</v>
      </c>
      <c r="G68" s="56">
        <f t="shared" si="13"/>
        <v>0</v>
      </c>
      <c r="H68" s="20">
        <f>SUM(B68:G68)</f>
        <v>28796533.880697403</v>
      </c>
    </row>
    <row r="69" spans="1:8" ht="15" thickBot="1" x14ac:dyDescent="0.35">
      <c r="A69" s="1" t="s">
        <v>41</v>
      </c>
      <c r="B69" s="56">
        <f t="shared" si="13"/>
        <v>269584.50692056568</v>
      </c>
      <c r="C69" s="56">
        <f t="shared" si="13"/>
        <v>0</v>
      </c>
      <c r="D69" s="56">
        <f t="shared" si="13"/>
        <v>0</v>
      </c>
      <c r="E69" s="56">
        <f t="shared" si="13"/>
        <v>5052272.9011388663</v>
      </c>
      <c r="F69" s="56">
        <f t="shared" si="13"/>
        <v>17428071.708716661</v>
      </c>
      <c r="G69" s="56">
        <f>G59*$B$63</f>
        <v>0</v>
      </c>
      <c r="H69" s="20">
        <f>SUM(B69:G69)</f>
        <v>22749929.116776094</v>
      </c>
    </row>
    <row r="70" spans="1:8" ht="15" thickBot="1" x14ac:dyDescent="0.35">
      <c r="A70" s="2" t="s">
        <v>76</v>
      </c>
      <c r="B70" s="23">
        <f t="shared" ref="B70:G70" si="14">SUM(B66:B69)</f>
        <v>484484833.47578269</v>
      </c>
      <c r="C70" s="23">
        <f t="shared" si="14"/>
        <v>291026246.79717278</v>
      </c>
      <c r="D70" s="23">
        <f t="shared" si="14"/>
        <v>6011677.6160913026</v>
      </c>
      <c r="E70" s="23">
        <f t="shared" si="14"/>
        <v>67123054.257987797</v>
      </c>
      <c r="F70" s="23">
        <f t="shared" si="14"/>
        <v>837654823.2767446</v>
      </c>
      <c r="G70" s="23">
        <f t="shared" si="14"/>
        <v>1218161.5562054061</v>
      </c>
      <c r="H70" s="28">
        <f>SUM(B70:G70)</f>
        <v>1687518796.9799845</v>
      </c>
    </row>
    <row r="72" spans="1:8" s="8" customFormat="1" x14ac:dyDescent="0.3">
      <c r="A72" s="9" t="s">
        <v>105</v>
      </c>
      <c r="B72" s="24"/>
      <c r="C72" s="24"/>
      <c r="D72" s="24"/>
      <c r="E72" s="24"/>
      <c r="F72" s="24"/>
      <c r="G72" s="24"/>
      <c r="H72" s="24"/>
    </row>
    <row r="73" spans="1:8" s="8" customFormat="1" x14ac:dyDescent="0.3">
      <c r="A73" s="9" t="s">
        <v>110</v>
      </c>
      <c r="B73" s="24">
        <v>27300</v>
      </c>
      <c r="C73" s="116" t="s">
        <v>104</v>
      </c>
      <c r="D73" s="24"/>
      <c r="E73" s="24"/>
      <c r="F73" s="24"/>
      <c r="G73" s="24"/>
      <c r="H73" s="24"/>
    </row>
    <row r="74" spans="1:8" s="8" customFormat="1" ht="15" thickBot="1" x14ac:dyDescent="0.35">
      <c r="A74" s="9" t="s">
        <v>116</v>
      </c>
      <c r="B74" s="116" t="s">
        <v>106</v>
      </c>
      <c r="C74" s="116"/>
      <c r="D74" s="24"/>
      <c r="E74" s="24"/>
      <c r="F74" s="24"/>
      <c r="G74" s="24"/>
      <c r="H74" s="24"/>
    </row>
    <row r="75" spans="1:8" ht="15" thickBot="1" x14ac:dyDescent="0.35">
      <c r="A75" s="33" t="s">
        <v>51</v>
      </c>
      <c r="B75" s="34" t="s">
        <v>52</v>
      </c>
      <c r="C75" s="34" t="s">
        <v>42</v>
      </c>
      <c r="D75" s="34" t="s">
        <v>46</v>
      </c>
      <c r="E75" s="34" t="s">
        <v>45</v>
      </c>
      <c r="F75" s="34" t="s">
        <v>44</v>
      </c>
      <c r="G75" s="34" t="s">
        <v>43</v>
      </c>
      <c r="H75" s="35" t="s">
        <v>128</v>
      </c>
    </row>
    <row r="76" spans="1:8" x14ac:dyDescent="0.3">
      <c r="A76" s="14" t="s">
        <v>53</v>
      </c>
      <c r="B76" s="24">
        <f>B66*$B$73/10^6</f>
        <v>7320028.1164141195</v>
      </c>
      <c r="C76" s="24">
        <f t="shared" ref="C76:G76" si="15">C66*$B$73/10^6</f>
        <v>5843723.6547847278</v>
      </c>
      <c r="D76" s="24">
        <f t="shared" si="15"/>
        <v>164118.79891929257</v>
      </c>
      <c r="E76" s="24">
        <f t="shared" si="15"/>
        <v>1499683.0061547204</v>
      </c>
      <c r="F76" s="24">
        <f t="shared" si="15"/>
        <v>12398517.413746132</v>
      </c>
      <c r="G76" s="24">
        <f t="shared" si="15"/>
        <v>33255.810484407586</v>
      </c>
      <c r="H76" s="36">
        <f>SUM(B76:G76)</f>
        <v>27259326.800503399</v>
      </c>
    </row>
    <row r="77" spans="1:8" x14ac:dyDescent="0.3">
      <c r="A77" s="14" t="s">
        <v>5</v>
      </c>
      <c r="B77" s="24">
        <f t="shared" ref="B77:G79" si="16">B67*$B$73/10^6</f>
        <v>5666369.7925126757</v>
      </c>
      <c r="C77" s="24">
        <f t="shared" si="16"/>
        <v>1750057.5552549025</v>
      </c>
      <c r="D77" s="24">
        <f t="shared" si="16"/>
        <v>0</v>
      </c>
      <c r="E77" s="24">
        <f t="shared" si="16"/>
        <v>144495.00497257157</v>
      </c>
      <c r="F77" s="24">
        <f t="shared" si="16"/>
        <v>9841795.5644790027</v>
      </c>
      <c r="G77" s="24">
        <f t="shared" si="16"/>
        <v>0</v>
      </c>
      <c r="H77" s="36">
        <f>SUM(B77:G77)</f>
        <v>17402717.917219155</v>
      </c>
    </row>
    <row r="78" spans="1:8" x14ac:dyDescent="0.3">
      <c r="A78" s="14" t="s">
        <v>40</v>
      </c>
      <c r="B78" s="24">
        <f t="shared" si="16"/>
        <v>232678.3879231402</v>
      </c>
      <c r="C78" s="24">
        <f t="shared" si="16"/>
        <v>351235.32752318669</v>
      </c>
      <c r="D78" s="24">
        <f t="shared" si="16"/>
        <v>0</v>
      </c>
      <c r="E78" s="24">
        <f t="shared" si="16"/>
        <v>50354.319914684042</v>
      </c>
      <c r="F78" s="24">
        <f t="shared" si="16"/>
        <v>151877.33958202807</v>
      </c>
      <c r="G78" s="24">
        <f t="shared" si="16"/>
        <v>0</v>
      </c>
      <c r="H78" s="36">
        <f>SUM(B78:G78)</f>
        <v>786145.37494303903</v>
      </c>
    </row>
    <row r="79" spans="1:8" ht="15" thickBot="1" x14ac:dyDescent="0.35">
      <c r="A79" s="14" t="s">
        <v>41</v>
      </c>
      <c r="B79" s="24">
        <f t="shared" si="16"/>
        <v>7359.6570389314429</v>
      </c>
      <c r="C79" s="24">
        <f t="shared" si="16"/>
        <v>0</v>
      </c>
      <c r="D79" s="24">
        <f t="shared" si="16"/>
        <v>0</v>
      </c>
      <c r="E79" s="24">
        <f t="shared" si="16"/>
        <v>137927.05020109107</v>
      </c>
      <c r="F79" s="24">
        <f>F69*$B$73/10^6</f>
        <v>475786.35764796485</v>
      </c>
      <c r="G79" s="24">
        <f t="shared" si="16"/>
        <v>0</v>
      </c>
      <c r="H79" s="36">
        <f>SUM(B79:G79)</f>
        <v>621073.06488798733</v>
      </c>
    </row>
    <row r="80" spans="1:8" ht="15" thickBot="1" x14ac:dyDescent="0.35">
      <c r="A80" s="5" t="s">
        <v>76</v>
      </c>
      <c r="B80" s="37">
        <f t="shared" ref="B80:G80" si="17">SUM(B76:B79)</f>
        <v>13226435.953888867</v>
      </c>
      <c r="C80" s="37">
        <f t="shared" si="17"/>
        <v>7945016.5375628173</v>
      </c>
      <c r="D80" s="37">
        <f t="shared" si="17"/>
        <v>164118.79891929257</v>
      </c>
      <c r="E80" s="37">
        <f t="shared" si="17"/>
        <v>1832459.3812430669</v>
      </c>
      <c r="F80" s="37">
        <f t="shared" si="17"/>
        <v>22867976.675455131</v>
      </c>
      <c r="G80" s="37">
        <f t="shared" si="17"/>
        <v>33255.810484407586</v>
      </c>
      <c r="H80" s="39">
        <f>SUM(B80:G80)</f>
        <v>46069263.157553583</v>
      </c>
    </row>
    <row r="82" spans="1:7" x14ac:dyDescent="0.3">
      <c r="A82" s="127" t="s">
        <v>48</v>
      </c>
      <c r="B82" s="127"/>
      <c r="C82" s="127"/>
      <c r="D82" s="127"/>
      <c r="E82" s="30">
        <f>H80/1000</f>
        <v>46069.263157553585</v>
      </c>
      <c r="F82" s="31"/>
      <c r="G82" s="31"/>
    </row>
    <row r="83" spans="1:7" x14ac:dyDescent="0.3">
      <c r="A83" s="32" t="s">
        <v>23</v>
      </c>
      <c r="B83" s="29"/>
      <c r="C83" s="30"/>
      <c r="D83" s="30"/>
      <c r="E83" s="45">
        <f>E82/H37</f>
        <v>15.92762955714309</v>
      </c>
    </row>
  </sheetData>
  <mergeCells count="3">
    <mergeCell ref="A82:D82"/>
    <mergeCell ref="A2:C2"/>
    <mergeCell ref="A11:C11"/>
  </mergeCells>
  <phoneticPr fontId="1" type="noConversion"/>
  <pageMargins left="0.75" right="0.75" top="1" bottom="1" header="0.5" footer="0.5"/>
  <pageSetup scale="73" fitToHeight="2" orientation="landscape"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83"/>
  <sheetViews>
    <sheetView tabSelected="1" topLeftCell="F9" zoomScaleNormal="100" workbookViewId="0">
      <selection activeCell="H18" sqref="A1:H18"/>
    </sheetView>
  </sheetViews>
  <sheetFormatPr defaultColWidth="10.77734375" defaultRowHeight="15.6" x14ac:dyDescent="0.3"/>
  <cols>
    <col min="1" max="1" width="24.33203125" style="15" customWidth="1"/>
    <col min="2" max="2" width="22.77734375" style="16" customWidth="1"/>
    <col min="3" max="3" width="21.44140625" style="15" customWidth="1"/>
    <col min="4" max="4" width="17.77734375" style="15" customWidth="1"/>
    <col min="5" max="5" width="16.77734375" style="15" customWidth="1"/>
    <col min="6" max="6" width="18.6640625" style="15" customWidth="1"/>
    <col min="7" max="7" width="35.109375" style="15" customWidth="1"/>
    <col min="8" max="8" width="21.44140625" style="15" customWidth="1"/>
    <col min="9" max="9" width="17" style="15" customWidth="1"/>
    <col min="10" max="10" width="11.44140625" style="15" customWidth="1"/>
    <col min="11" max="11" width="23.6640625" customWidth="1"/>
    <col min="12" max="13" width="42.44140625" style="15" customWidth="1"/>
    <col min="14" max="14" width="22.77734375" style="15" customWidth="1"/>
    <col min="15" max="15" width="16.109375" style="15" customWidth="1"/>
    <col min="16" max="16384" width="10.77734375" style="15"/>
  </cols>
  <sheetData>
    <row r="1" spans="1:11" x14ac:dyDescent="0.3">
      <c r="A1" s="40" t="s">
        <v>4</v>
      </c>
      <c r="C1" s="40"/>
      <c r="D1" s="40"/>
      <c r="E1" s="40"/>
      <c r="F1" s="40"/>
      <c r="G1" s="40"/>
    </row>
    <row r="2" spans="1:11" s="58" customFormat="1" x14ac:dyDescent="0.3">
      <c r="A2" s="58" t="s">
        <v>49</v>
      </c>
      <c r="K2" s="8"/>
    </row>
    <row r="3" spans="1:11" x14ac:dyDescent="0.3">
      <c r="A3" s="41"/>
      <c r="C3" s="40"/>
      <c r="D3" s="40"/>
      <c r="E3" s="40"/>
      <c r="F3" s="40"/>
      <c r="G3" s="40"/>
    </row>
    <row r="4" spans="1:11" s="59" customFormat="1" ht="31.2" x14ac:dyDescent="0.3">
      <c r="A4" s="74" t="s">
        <v>93</v>
      </c>
      <c r="B4" s="73" t="s">
        <v>34</v>
      </c>
      <c r="C4" s="73" t="s">
        <v>90</v>
      </c>
      <c r="D4" s="73" t="s">
        <v>24</v>
      </c>
      <c r="E4" s="73" t="s">
        <v>25</v>
      </c>
      <c r="F4" s="75" t="s">
        <v>37</v>
      </c>
      <c r="G4" s="75" t="s">
        <v>91</v>
      </c>
      <c r="H4" s="75" t="s">
        <v>26</v>
      </c>
      <c r="K4" s="72"/>
    </row>
    <row r="5" spans="1:11" s="58" customFormat="1" ht="62.4" x14ac:dyDescent="0.3">
      <c r="A5" s="76" t="s">
        <v>71</v>
      </c>
      <c r="B5" s="77">
        <v>27</v>
      </c>
      <c r="C5" s="78">
        <v>22</v>
      </c>
      <c r="D5" s="79" t="s">
        <v>73</v>
      </c>
      <c r="E5" s="79" t="s">
        <v>36</v>
      </c>
      <c r="F5" s="80">
        <v>1</v>
      </c>
      <c r="G5" s="76" t="s">
        <v>8</v>
      </c>
      <c r="H5" s="76" t="s">
        <v>114</v>
      </c>
      <c r="K5" s="8"/>
    </row>
    <row r="6" spans="1:11" s="58" customFormat="1" x14ac:dyDescent="0.3">
      <c r="A6" s="76" t="s">
        <v>33</v>
      </c>
      <c r="B6" s="77">
        <v>33</v>
      </c>
      <c r="C6" s="78">
        <v>33</v>
      </c>
      <c r="D6" s="79" t="s">
        <v>35</v>
      </c>
      <c r="E6" s="79" t="s">
        <v>113</v>
      </c>
      <c r="F6" s="80">
        <v>1</v>
      </c>
      <c r="G6" s="76"/>
      <c r="H6" s="76" t="s">
        <v>22</v>
      </c>
      <c r="K6" s="8"/>
    </row>
    <row r="7" spans="1:11" s="58" customFormat="1" ht="31.2" x14ac:dyDescent="0.3">
      <c r="A7" s="76" t="s">
        <v>92</v>
      </c>
      <c r="B7" s="77">
        <v>37</v>
      </c>
      <c r="C7" s="78">
        <v>38</v>
      </c>
      <c r="D7" s="79" t="s">
        <v>74</v>
      </c>
      <c r="E7" s="79" t="s">
        <v>19</v>
      </c>
      <c r="F7" s="80" t="s">
        <v>38</v>
      </c>
      <c r="G7" s="76"/>
      <c r="H7" s="76" t="s">
        <v>72</v>
      </c>
      <c r="K7" s="8"/>
    </row>
    <row r="8" spans="1:11" s="58" customFormat="1" ht="78" x14ac:dyDescent="0.3">
      <c r="A8" s="76" t="s">
        <v>20</v>
      </c>
      <c r="B8" s="77">
        <v>42</v>
      </c>
      <c r="C8" s="78">
        <v>46</v>
      </c>
      <c r="D8" s="79" t="s">
        <v>112</v>
      </c>
      <c r="E8" s="79" t="s">
        <v>75</v>
      </c>
      <c r="F8" s="80">
        <v>1</v>
      </c>
      <c r="G8" s="76" t="s">
        <v>118</v>
      </c>
      <c r="H8" s="76" t="s">
        <v>3</v>
      </c>
      <c r="K8" s="8"/>
    </row>
    <row r="9" spans="1:11" s="58" customFormat="1" x14ac:dyDescent="0.3">
      <c r="E9" s="8"/>
      <c r="K9" s="8"/>
    </row>
    <row r="10" spans="1:11" s="58" customFormat="1" x14ac:dyDescent="0.3">
      <c r="C10" s="71"/>
      <c r="E10" s="8"/>
      <c r="K10" s="8"/>
    </row>
    <row r="11" spans="1:11" s="58" customFormat="1" x14ac:dyDescent="0.3">
      <c r="A11" s="57" t="s">
        <v>124</v>
      </c>
      <c r="B11" s="70" t="s">
        <v>7</v>
      </c>
      <c r="C11" s="57" t="s">
        <v>125</v>
      </c>
      <c r="E11" s="8"/>
      <c r="K11" s="8"/>
    </row>
    <row r="12" spans="1:11" s="58" customFormat="1" x14ac:dyDescent="0.3">
      <c r="A12" s="58" t="s">
        <v>121</v>
      </c>
      <c r="B12" s="69">
        <v>22</v>
      </c>
      <c r="C12" s="58" t="s">
        <v>30</v>
      </c>
      <c r="E12" s="60"/>
      <c r="K12" s="8"/>
    </row>
    <row r="13" spans="1:11" s="58" customFormat="1" x14ac:dyDescent="0.3">
      <c r="A13" s="58" t="s">
        <v>122</v>
      </c>
      <c r="B13" s="69">
        <f>MEDIAN(C5:C8)</f>
        <v>35.5</v>
      </c>
      <c r="C13" s="58" t="s">
        <v>32</v>
      </c>
      <c r="D13" s="57"/>
      <c r="E13" s="60"/>
      <c r="F13" s="57"/>
      <c r="G13" s="57"/>
      <c r="K13" s="8"/>
    </row>
    <row r="14" spans="1:11" s="58" customFormat="1" x14ac:dyDescent="0.3">
      <c r="A14" s="58" t="s">
        <v>123</v>
      </c>
      <c r="B14" s="69">
        <v>46</v>
      </c>
      <c r="C14" s="58" t="s">
        <v>31</v>
      </c>
      <c r="E14" s="60"/>
      <c r="K14" s="8"/>
    </row>
    <row r="15" spans="1:11" s="58" customFormat="1" x14ac:dyDescent="0.3">
      <c r="E15" s="60"/>
      <c r="K15" s="8"/>
    </row>
    <row r="16" spans="1:11" x14ac:dyDescent="0.3">
      <c r="C16" s="58"/>
      <c r="D16" s="58"/>
      <c r="E16" s="58"/>
      <c r="F16" s="58"/>
      <c r="G16" s="58"/>
      <c r="H16" s="58"/>
    </row>
    <row r="17" spans="9:11" s="58" customFormat="1" x14ac:dyDescent="0.3">
      <c r="K17" s="8"/>
    </row>
    <row r="18" spans="9:11" s="58" customFormat="1" x14ac:dyDescent="0.3">
      <c r="K18" s="8"/>
    </row>
    <row r="19" spans="9:11" s="58" customFormat="1" x14ac:dyDescent="0.3">
      <c r="K19" s="8"/>
    </row>
    <row r="20" spans="9:11" s="58" customFormat="1" x14ac:dyDescent="0.3">
      <c r="K20" s="8"/>
    </row>
    <row r="21" spans="9:11" s="58" customFormat="1" x14ac:dyDescent="0.3">
      <c r="K21" s="8"/>
    </row>
    <row r="22" spans="9:11" s="58" customFormat="1" x14ac:dyDescent="0.3">
      <c r="K22" s="8"/>
    </row>
    <row r="23" spans="9:11" s="58" customFormat="1" x14ac:dyDescent="0.3">
      <c r="K23" s="8"/>
    </row>
    <row r="24" spans="9:11" s="58" customFormat="1" x14ac:dyDescent="0.3">
      <c r="K24" s="8"/>
    </row>
    <row r="25" spans="9:11" s="58" customFormat="1" x14ac:dyDescent="0.3">
      <c r="J25" s="8"/>
    </row>
    <row r="26" spans="9:11" s="58" customFormat="1" x14ac:dyDescent="0.3">
      <c r="J26" s="8"/>
    </row>
    <row r="27" spans="9:11" s="58" customFormat="1" x14ac:dyDescent="0.3">
      <c r="J27" s="8"/>
    </row>
    <row r="28" spans="9:11" s="58" customFormat="1" x14ac:dyDescent="0.3">
      <c r="I28" s="42"/>
      <c r="J28" s="8"/>
    </row>
    <row r="29" spans="9:11" s="58" customFormat="1" x14ac:dyDescent="0.3"/>
    <row r="30" spans="9:11" s="58" customFormat="1" x14ac:dyDescent="0.3">
      <c r="K30" s="8"/>
    </row>
    <row r="31" spans="9:11" s="58" customFormat="1" x14ac:dyDescent="0.3">
      <c r="K31" s="63"/>
    </row>
    <row r="32" spans="9:11" s="58" customFormat="1" x14ac:dyDescent="0.3">
      <c r="K32" s="63"/>
    </row>
    <row r="33" spans="10:11" s="58" customFormat="1" x14ac:dyDescent="0.3">
      <c r="K33" s="63"/>
    </row>
    <row r="34" spans="10:11" s="58" customFormat="1" x14ac:dyDescent="0.3">
      <c r="J34" s="8"/>
    </row>
    <row r="35" spans="10:11" s="58" customFormat="1" x14ac:dyDescent="0.3">
      <c r="J35" s="8"/>
    </row>
    <row r="36" spans="10:11" s="58" customFormat="1" x14ac:dyDescent="0.3">
      <c r="J36" s="8"/>
    </row>
    <row r="37" spans="10:11" s="58" customFormat="1" x14ac:dyDescent="0.3">
      <c r="J37" s="64"/>
    </row>
    <row r="38" spans="10:11" s="58" customFormat="1" x14ac:dyDescent="0.3">
      <c r="J38" s="8"/>
    </row>
    <row r="39" spans="10:11" s="58" customFormat="1" x14ac:dyDescent="0.3">
      <c r="K39" s="8"/>
    </row>
    <row r="40" spans="10:11" s="58" customFormat="1" x14ac:dyDescent="0.3">
      <c r="K40" s="8"/>
    </row>
    <row r="41" spans="10:11" s="58" customFormat="1" x14ac:dyDescent="0.3">
      <c r="K41" s="8"/>
    </row>
    <row r="42" spans="10:11" s="58" customFormat="1" x14ac:dyDescent="0.3">
      <c r="K42" s="8"/>
    </row>
    <row r="43" spans="10:11" s="58" customFormat="1" x14ac:dyDescent="0.3">
      <c r="K43" s="8"/>
    </row>
    <row r="44" spans="10:11" s="58" customFormat="1" x14ac:dyDescent="0.3">
      <c r="K44" s="8"/>
    </row>
    <row r="45" spans="10:11" s="58" customFormat="1" x14ac:dyDescent="0.3">
      <c r="K45" s="8"/>
    </row>
    <row r="46" spans="10:11" s="58" customFormat="1" x14ac:dyDescent="0.3">
      <c r="K46" s="8"/>
    </row>
    <row r="47" spans="10:11" s="58" customFormat="1" x14ac:dyDescent="0.3">
      <c r="K47" s="63"/>
    </row>
    <row r="48" spans="10:11" s="58" customFormat="1" x14ac:dyDescent="0.3">
      <c r="K48" s="63"/>
    </row>
    <row r="49" spans="11:11" s="58" customFormat="1" x14ac:dyDescent="0.3">
      <c r="K49" s="8"/>
    </row>
    <row r="50" spans="11:11" s="58" customFormat="1" x14ac:dyDescent="0.3">
      <c r="K50" s="8"/>
    </row>
    <row r="51" spans="11:11" s="58" customFormat="1" x14ac:dyDescent="0.3">
      <c r="K51" s="8"/>
    </row>
    <row r="52" spans="11:11" s="58" customFormat="1" x14ac:dyDescent="0.3">
      <c r="K52" s="8"/>
    </row>
    <row r="53" spans="11:11" s="58" customFormat="1" x14ac:dyDescent="0.3">
      <c r="K53" s="8"/>
    </row>
    <row r="54" spans="11:11" s="58" customFormat="1" x14ac:dyDescent="0.3">
      <c r="K54" s="8"/>
    </row>
    <row r="55" spans="11:11" s="58" customFormat="1" x14ac:dyDescent="0.3">
      <c r="K55" s="8"/>
    </row>
    <row r="56" spans="11:11" s="58" customFormat="1" x14ac:dyDescent="0.3">
      <c r="K56" s="8"/>
    </row>
    <row r="57" spans="11:11" s="58" customFormat="1" x14ac:dyDescent="0.3">
      <c r="K57" s="8"/>
    </row>
    <row r="58" spans="11:11" s="58" customFormat="1" x14ac:dyDescent="0.3">
      <c r="K58" s="8"/>
    </row>
    <row r="59" spans="11:11" s="58" customFormat="1" x14ac:dyDescent="0.3">
      <c r="K59" s="8"/>
    </row>
    <row r="60" spans="11:11" s="58" customFormat="1" x14ac:dyDescent="0.3">
      <c r="K60" s="8"/>
    </row>
    <row r="61" spans="11:11" s="58" customFormat="1" x14ac:dyDescent="0.3">
      <c r="K61" s="8"/>
    </row>
    <row r="62" spans="11:11" s="58" customFormat="1" x14ac:dyDescent="0.3">
      <c r="K62" s="8"/>
    </row>
    <row r="63" spans="11:11" s="58" customFormat="1" x14ac:dyDescent="0.3">
      <c r="K63" s="8"/>
    </row>
    <row r="64" spans="11:11" s="58" customFormat="1" x14ac:dyDescent="0.3">
      <c r="K64" s="8"/>
    </row>
    <row r="65" spans="1:11" s="58" customFormat="1" x14ac:dyDescent="0.3">
      <c r="K65" s="8"/>
    </row>
    <row r="66" spans="1:11" s="58" customFormat="1" x14ac:dyDescent="0.3">
      <c r="K66" s="8"/>
    </row>
    <row r="67" spans="1:11" s="58" customFormat="1" x14ac:dyDescent="0.3">
      <c r="K67" s="8"/>
    </row>
    <row r="68" spans="1:11" s="58" customFormat="1" x14ac:dyDescent="0.3">
      <c r="K68" s="8"/>
    </row>
    <row r="69" spans="1:11" s="58" customFormat="1" x14ac:dyDescent="0.3">
      <c r="K69" s="8"/>
    </row>
    <row r="70" spans="1:11" s="58" customFormat="1" x14ac:dyDescent="0.3">
      <c r="K70" s="8"/>
    </row>
    <row r="71" spans="1:11" s="58" customFormat="1" x14ac:dyDescent="0.3">
      <c r="K71" s="8"/>
    </row>
    <row r="72" spans="1:11" s="58" customFormat="1" x14ac:dyDescent="0.3">
      <c r="K72" s="8"/>
    </row>
    <row r="73" spans="1:11" s="58" customFormat="1" x14ac:dyDescent="0.3">
      <c r="K73" s="8"/>
    </row>
    <row r="74" spans="1:11" s="58" customFormat="1" x14ac:dyDescent="0.3">
      <c r="A74" s="62"/>
      <c r="K74" s="8"/>
    </row>
    <row r="75" spans="1:11" s="58" customFormat="1" x14ac:dyDescent="0.3">
      <c r="B75" s="62"/>
      <c r="K75" s="8"/>
    </row>
    <row r="76" spans="1:11" s="58" customFormat="1" x14ac:dyDescent="0.3">
      <c r="B76" s="62"/>
      <c r="K76" s="8"/>
    </row>
    <row r="77" spans="1:11" s="58" customFormat="1" x14ac:dyDescent="0.3">
      <c r="B77" s="62"/>
      <c r="K77" s="8"/>
    </row>
    <row r="80" spans="1:11" x14ac:dyDescent="0.3">
      <c r="A80" s="16"/>
      <c r="B80" s="15"/>
    </row>
    <row r="81" spans="1:2" x14ac:dyDescent="0.3">
      <c r="A81" s="16"/>
      <c r="B81" s="15"/>
    </row>
    <row r="82" spans="1:2" x14ac:dyDescent="0.3">
      <c r="A82" s="16"/>
      <c r="B82" s="15"/>
    </row>
    <row r="83" spans="1:2" x14ac:dyDescent="0.3">
      <c r="A83" s="16"/>
      <c r="B83" s="15"/>
    </row>
  </sheetData>
  <phoneticPr fontId="1" type="noConversion"/>
  <pageMargins left="0.75" right="0.75" top="1" bottom="1" header="0.5" footer="0.5"/>
  <pageSetup scale="67" orientation="landscape"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topLeftCell="D65" zoomScaleNormal="100" workbookViewId="0">
      <selection activeCell="H77" sqref="A1:K77"/>
    </sheetView>
  </sheetViews>
  <sheetFormatPr defaultColWidth="11.5546875" defaultRowHeight="14.4" x14ac:dyDescent="0.3"/>
  <cols>
    <col min="1" max="1" width="15.33203125" customWidth="1"/>
    <col min="2" max="2" width="17.77734375" customWidth="1"/>
    <col min="3" max="3" width="21.6640625" customWidth="1"/>
    <col min="8" max="8" width="15.109375" customWidth="1"/>
    <col min="9" max="9" width="32.33203125" customWidth="1"/>
  </cols>
  <sheetData>
    <row r="1" spans="1:11" ht="15.6" x14ac:dyDescent="0.3">
      <c r="A1" s="40" t="s">
        <v>1</v>
      </c>
    </row>
    <row r="2" spans="1:11" ht="31.95" customHeight="1" x14ac:dyDescent="0.3">
      <c r="A2" s="129" t="s">
        <v>0</v>
      </c>
      <c r="B2" s="130"/>
      <c r="C2" s="130"/>
      <c r="D2" s="130"/>
      <c r="E2" s="130"/>
      <c r="F2" s="130"/>
      <c r="G2" s="130"/>
      <c r="H2" s="130"/>
      <c r="I2" s="130"/>
      <c r="J2" s="130"/>
      <c r="K2" s="130"/>
    </row>
    <row r="3" spans="1:11" ht="15.6" x14ac:dyDescent="0.3">
      <c r="A3" s="58"/>
    </row>
    <row r="4" spans="1:11" ht="15.6" x14ac:dyDescent="0.3">
      <c r="A4" s="57" t="s">
        <v>2</v>
      </c>
      <c r="B4" s="61" t="s">
        <v>27</v>
      </c>
      <c r="C4" s="57" t="s">
        <v>18</v>
      </c>
      <c r="D4" s="58"/>
      <c r="E4" s="58"/>
      <c r="F4" s="58"/>
      <c r="G4" s="58"/>
      <c r="H4" s="58"/>
    </row>
    <row r="5" spans="1:11" ht="15.6" x14ac:dyDescent="0.3">
      <c r="A5" s="58" t="s">
        <v>94</v>
      </c>
      <c r="B5" s="65">
        <v>82090</v>
      </c>
      <c r="C5" s="58" t="s">
        <v>47</v>
      </c>
      <c r="D5" s="58"/>
      <c r="E5" s="58"/>
      <c r="F5" s="58"/>
      <c r="G5" s="58"/>
      <c r="H5" s="58"/>
    </row>
    <row r="6" spans="1:11" ht="15.6" x14ac:dyDescent="0.3">
      <c r="A6" s="58" t="s">
        <v>94</v>
      </c>
      <c r="B6" s="65">
        <v>30000</v>
      </c>
      <c r="C6" s="58" t="s">
        <v>21</v>
      </c>
      <c r="D6" s="58"/>
      <c r="E6" s="58"/>
      <c r="F6" s="58"/>
      <c r="G6" s="58"/>
      <c r="H6" s="58"/>
    </row>
    <row r="7" spans="1:11" ht="15.6" x14ac:dyDescent="0.3">
      <c r="A7" s="58" t="s">
        <v>94</v>
      </c>
      <c r="B7" s="65">
        <v>14000</v>
      </c>
      <c r="C7" s="58" t="s">
        <v>21</v>
      </c>
      <c r="D7" s="58"/>
      <c r="E7" s="58"/>
      <c r="F7" s="58"/>
      <c r="G7" s="58"/>
      <c r="H7" s="58"/>
    </row>
    <row r="8" spans="1:11" ht="15.6" x14ac:dyDescent="0.3">
      <c r="A8" s="58" t="s">
        <v>94</v>
      </c>
      <c r="B8" s="65">
        <v>12000</v>
      </c>
      <c r="C8" s="58" t="s">
        <v>21</v>
      </c>
      <c r="D8" s="58"/>
      <c r="E8" s="58"/>
      <c r="F8" s="58"/>
      <c r="G8" s="58"/>
      <c r="H8" s="58"/>
    </row>
    <row r="9" spans="1:11" ht="15.6" x14ac:dyDescent="0.3">
      <c r="A9" s="58" t="s">
        <v>94</v>
      </c>
      <c r="B9" s="65">
        <v>9000</v>
      </c>
      <c r="C9" s="58" t="s">
        <v>21</v>
      </c>
      <c r="D9" s="58"/>
      <c r="E9" s="58"/>
      <c r="F9" s="58"/>
      <c r="G9" s="58"/>
      <c r="H9" s="58"/>
    </row>
    <row r="10" spans="1:11" ht="15.6" x14ac:dyDescent="0.3">
      <c r="A10" s="58" t="s">
        <v>94</v>
      </c>
      <c r="B10" s="65">
        <v>6000</v>
      </c>
      <c r="C10" s="58" t="s">
        <v>21</v>
      </c>
      <c r="D10" s="58"/>
      <c r="E10" s="58"/>
      <c r="F10" s="58"/>
      <c r="G10" s="58"/>
      <c r="H10" s="58"/>
    </row>
    <row r="11" spans="1:11" ht="15.6" x14ac:dyDescent="0.3">
      <c r="A11" s="58" t="s">
        <v>94</v>
      </c>
      <c r="B11" s="65">
        <v>1000</v>
      </c>
      <c r="C11" s="58" t="s">
        <v>21</v>
      </c>
      <c r="D11" s="58"/>
      <c r="E11" s="58"/>
      <c r="F11" s="58"/>
      <c r="G11" s="58"/>
      <c r="H11" s="58"/>
    </row>
    <row r="12" spans="1:11" ht="15.6" x14ac:dyDescent="0.3">
      <c r="A12" s="58" t="s">
        <v>94</v>
      </c>
      <c r="B12" s="65">
        <v>800</v>
      </c>
      <c r="C12" s="58" t="s">
        <v>21</v>
      </c>
      <c r="D12" s="58"/>
      <c r="E12" s="58"/>
      <c r="F12" s="58"/>
      <c r="G12" s="58"/>
      <c r="H12" s="58"/>
    </row>
    <row r="13" spans="1:11" ht="15.6" x14ac:dyDescent="0.3">
      <c r="A13" s="58" t="s">
        <v>94</v>
      </c>
      <c r="B13" s="65">
        <v>600</v>
      </c>
      <c r="C13" s="58" t="s">
        <v>21</v>
      </c>
      <c r="D13" s="58"/>
      <c r="E13" s="58"/>
      <c r="F13" s="58"/>
      <c r="G13" s="58"/>
      <c r="H13" s="58"/>
    </row>
    <row r="14" spans="1:11" ht="15.6" x14ac:dyDescent="0.3">
      <c r="A14" s="58" t="s">
        <v>94</v>
      </c>
      <c r="B14" s="65">
        <v>570</v>
      </c>
      <c r="C14" s="58" t="s">
        <v>47</v>
      </c>
      <c r="D14" s="58"/>
      <c r="E14" s="58"/>
      <c r="F14" s="62"/>
      <c r="G14" s="62"/>
      <c r="H14" s="58"/>
    </row>
    <row r="15" spans="1:11" ht="15.6" x14ac:dyDescent="0.3">
      <c r="A15" s="58"/>
      <c r="B15" s="65"/>
      <c r="C15" s="58"/>
      <c r="D15" s="58"/>
      <c r="E15" s="58"/>
      <c r="F15" s="62"/>
      <c r="G15" s="62"/>
      <c r="H15" s="58"/>
    </row>
    <row r="16" spans="1:11" ht="15.6" x14ac:dyDescent="0.3">
      <c r="A16" s="58" t="s">
        <v>95</v>
      </c>
      <c r="B16" s="65">
        <v>35600</v>
      </c>
      <c r="C16" s="58" t="s">
        <v>47</v>
      </c>
      <c r="D16" s="58"/>
      <c r="H16" s="58"/>
    </row>
    <row r="17" spans="1:8" ht="15.6" x14ac:dyDescent="0.3">
      <c r="A17" s="58" t="s">
        <v>95</v>
      </c>
      <c r="B17" s="65">
        <v>36200</v>
      </c>
      <c r="C17" s="58" t="s">
        <v>47</v>
      </c>
      <c r="D17" s="58"/>
      <c r="H17" s="58"/>
    </row>
    <row r="18" spans="1:8" ht="15.6" x14ac:dyDescent="0.3">
      <c r="A18" s="58" t="s">
        <v>95</v>
      </c>
      <c r="B18" s="65">
        <v>71</v>
      </c>
      <c r="C18" s="58" t="s">
        <v>47</v>
      </c>
      <c r="D18" s="58"/>
      <c r="H18" s="42"/>
    </row>
    <row r="19" spans="1:8" ht="15.6" x14ac:dyDescent="0.3">
      <c r="A19" s="58" t="s">
        <v>95</v>
      </c>
      <c r="B19" s="65">
        <v>26400</v>
      </c>
      <c r="C19" s="58" t="s">
        <v>47</v>
      </c>
      <c r="D19" s="58"/>
      <c r="H19" s="58"/>
    </row>
    <row r="20" spans="1:8" ht="15.6" x14ac:dyDescent="0.3">
      <c r="A20" s="58" t="s">
        <v>95</v>
      </c>
      <c r="B20" s="65">
        <v>7740</v>
      </c>
      <c r="C20" s="58" t="s">
        <v>47</v>
      </c>
      <c r="D20" s="58"/>
      <c r="H20" s="58"/>
    </row>
    <row r="21" spans="1:8" ht="15.6" x14ac:dyDescent="0.3">
      <c r="A21" s="58" t="s">
        <v>95</v>
      </c>
      <c r="B21" s="65">
        <v>5010</v>
      </c>
      <c r="C21" s="58" t="s">
        <v>47</v>
      </c>
      <c r="D21" s="58"/>
      <c r="E21" s="58"/>
      <c r="F21" s="62"/>
      <c r="G21" s="62"/>
      <c r="H21" s="58"/>
    </row>
    <row r="22" spans="1:8" ht="15.6" x14ac:dyDescent="0.3">
      <c r="A22" s="58" t="s">
        <v>95</v>
      </c>
      <c r="B22" s="65">
        <v>5970</v>
      </c>
      <c r="C22" s="58" t="s">
        <v>47</v>
      </c>
      <c r="D22" s="58"/>
      <c r="E22" s="58"/>
      <c r="F22" s="62"/>
      <c r="G22" s="62"/>
      <c r="H22" s="58"/>
    </row>
    <row r="23" spans="1:8" ht="15.6" x14ac:dyDescent="0.3">
      <c r="A23" s="58" t="s">
        <v>95</v>
      </c>
      <c r="B23" s="65">
        <v>8240</v>
      </c>
      <c r="C23" s="58" t="s">
        <v>47</v>
      </c>
      <c r="D23" s="58"/>
      <c r="E23" s="58"/>
      <c r="F23" s="62"/>
      <c r="G23" s="62"/>
      <c r="H23" s="58"/>
    </row>
    <row r="24" spans="1:8" ht="15.6" x14ac:dyDescent="0.3">
      <c r="A24" s="58"/>
      <c r="B24" s="65"/>
      <c r="C24" s="58"/>
      <c r="D24" s="58"/>
      <c r="E24" s="58"/>
      <c r="F24" s="62"/>
      <c r="G24" s="62"/>
      <c r="H24" s="58"/>
    </row>
    <row r="25" spans="1:8" ht="15.6" x14ac:dyDescent="0.3">
      <c r="A25" s="58" t="s">
        <v>96</v>
      </c>
      <c r="B25" s="65">
        <v>220314.42</v>
      </c>
      <c r="C25" s="58" t="s">
        <v>50</v>
      </c>
      <c r="D25" s="58"/>
      <c r="E25" s="58"/>
      <c r="F25" s="62"/>
      <c r="G25" s="62"/>
      <c r="H25" s="58"/>
    </row>
    <row r="26" spans="1:8" ht="15.6" x14ac:dyDescent="0.3">
      <c r="A26" s="58" t="s">
        <v>96</v>
      </c>
      <c r="B26" s="65">
        <v>198464.649</v>
      </c>
      <c r="C26" s="58" t="s">
        <v>50</v>
      </c>
      <c r="D26" s="58"/>
      <c r="E26" s="58"/>
      <c r="F26" s="62"/>
      <c r="G26" s="62"/>
      <c r="H26" s="58"/>
    </row>
    <row r="27" spans="1:8" ht="15.6" x14ac:dyDescent="0.3">
      <c r="A27" s="58" t="s">
        <v>96</v>
      </c>
      <c r="B27" s="65">
        <v>146457.17000000001</v>
      </c>
      <c r="C27" s="58" t="s">
        <v>50</v>
      </c>
      <c r="D27" s="58"/>
      <c r="E27" s="58"/>
      <c r="F27" s="62"/>
      <c r="G27" s="62"/>
      <c r="H27" s="58"/>
    </row>
    <row r="28" spans="1:8" ht="15.6" x14ac:dyDescent="0.3">
      <c r="A28" s="58" t="s">
        <v>96</v>
      </c>
      <c r="B28" s="65">
        <v>12502.769</v>
      </c>
      <c r="C28" s="58" t="s">
        <v>50</v>
      </c>
      <c r="D28" s="58"/>
      <c r="E28" s="58"/>
      <c r="F28" s="62"/>
      <c r="G28" s="62"/>
      <c r="H28" s="58"/>
    </row>
    <row r="29" spans="1:8" ht="15.6" x14ac:dyDescent="0.3">
      <c r="A29" s="58" t="s">
        <v>96</v>
      </c>
      <c r="B29" s="65">
        <v>11529.11</v>
      </c>
      <c r="C29" s="58" t="s">
        <v>50</v>
      </c>
      <c r="D29" s="58"/>
      <c r="E29" s="58"/>
      <c r="F29" s="62"/>
      <c r="G29" s="62"/>
      <c r="H29" s="58"/>
    </row>
    <row r="30" spans="1:8" ht="15.6" x14ac:dyDescent="0.3">
      <c r="A30" s="58" t="s">
        <v>96</v>
      </c>
      <c r="B30" s="65">
        <v>7628.8109999999997</v>
      </c>
      <c r="C30" s="58" t="s">
        <v>50</v>
      </c>
      <c r="D30" s="58"/>
      <c r="E30" s="58"/>
      <c r="F30" s="62"/>
      <c r="G30" s="62"/>
      <c r="H30" s="58"/>
    </row>
    <row r="31" spans="1:8" ht="15.6" x14ac:dyDescent="0.3">
      <c r="A31" s="58" t="s">
        <v>96</v>
      </c>
      <c r="B31" s="65">
        <v>3602.4009999999998</v>
      </c>
      <c r="C31" s="58" t="s">
        <v>50</v>
      </c>
      <c r="D31" s="58"/>
      <c r="E31" s="58"/>
      <c r="F31" s="62"/>
      <c r="G31" s="62"/>
      <c r="H31" s="58"/>
    </row>
    <row r="32" spans="1:8" ht="15.6" x14ac:dyDescent="0.3">
      <c r="A32" s="58" t="s">
        <v>96</v>
      </c>
      <c r="B32" s="65">
        <v>88.736999999999995</v>
      </c>
      <c r="C32" s="58" t="s">
        <v>50</v>
      </c>
      <c r="D32" s="58"/>
      <c r="E32" s="58"/>
      <c r="F32" s="62"/>
      <c r="G32" s="62"/>
      <c r="H32" s="58"/>
    </row>
    <row r="33" spans="1:8" ht="15.6" x14ac:dyDescent="0.3">
      <c r="A33" s="58" t="s">
        <v>96</v>
      </c>
      <c r="B33" s="65">
        <v>59.94</v>
      </c>
      <c r="C33" s="58" t="s">
        <v>50</v>
      </c>
      <c r="D33" s="58"/>
      <c r="E33" s="58"/>
      <c r="F33" s="62"/>
      <c r="G33" s="62"/>
      <c r="H33" s="58"/>
    </row>
    <row r="34" spans="1:8" ht="15.6" x14ac:dyDescent="0.3">
      <c r="A34" s="58"/>
      <c r="B34" s="62"/>
      <c r="C34" s="58"/>
      <c r="D34" s="58"/>
      <c r="E34" s="58"/>
      <c r="F34" s="62"/>
      <c r="G34" s="62"/>
      <c r="H34" s="58"/>
    </row>
    <row r="35" spans="1:8" ht="15.6" x14ac:dyDescent="0.3">
      <c r="A35" s="61" t="s">
        <v>29</v>
      </c>
      <c r="B35" s="57"/>
      <c r="C35" s="57"/>
      <c r="D35" s="58"/>
      <c r="E35" s="81"/>
      <c r="F35" s="15"/>
    </row>
    <row r="36" spans="1:8" ht="15.6" x14ac:dyDescent="0.3">
      <c r="A36" s="61" t="s">
        <v>78</v>
      </c>
      <c r="B36" s="61" t="s">
        <v>27</v>
      </c>
      <c r="C36" s="61"/>
      <c r="D36" s="58"/>
      <c r="E36" s="81"/>
      <c r="F36" s="15"/>
    </row>
    <row r="37" spans="1:8" ht="15.6" x14ac:dyDescent="0.3">
      <c r="A37" s="82">
        <v>3.7037037037037002</v>
      </c>
      <c r="B37" s="84">
        <v>60</v>
      </c>
      <c r="C37" s="66"/>
      <c r="D37" s="58"/>
      <c r="E37" s="81"/>
      <c r="F37" s="15"/>
    </row>
    <row r="38" spans="1:8" ht="15.6" x14ac:dyDescent="0.3">
      <c r="A38" s="82">
        <v>7.4074074074074101</v>
      </c>
      <c r="B38" s="84">
        <v>71</v>
      </c>
      <c r="C38" s="66"/>
      <c r="D38" s="58"/>
      <c r="E38" s="81"/>
      <c r="F38" s="15"/>
    </row>
    <row r="39" spans="1:8" ht="15.6" x14ac:dyDescent="0.3">
      <c r="A39" s="82">
        <v>11.1111111111111</v>
      </c>
      <c r="B39" s="84">
        <v>89</v>
      </c>
      <c r="C39" s="66"/>
      <c r="D39" s="58"/>
      <c r="E39" s="81"/>
      <c r="F39" s="15"/>
    </row>
    <row r="40" spans="1:8" ht="15.6" x14ac:dyDescent="0.3">
      <c r="A40" s="82">
        <v>14.814814814814801</v>
      </c>
      <c r="B40" s="84">
        <v>570</v>
      </c>
      <c r="C40" s="66"/>
      <c r="D40" s="58"/>
      <c r="E40" s="81"/>
      <c r="F40" s="15"/>
    </row>
    <row r="41" spans="1:8" ht="15.6" x14ac:dyDescent="0.3">
      <c r="A41" s="82">
        <v>18.518518518518501</v>
      </c>
      <c r="B41" s="84">
        <v>600</v>
      </c>
      <c r="C41" s="66"/>
      <c r="D41" s="58"/>
      <c r="E41" s="81"/>
      <c r="F41" s="15"/>
    </row>
    <row r="42" spans="1:8" ht="15.6" x14ac:dyDescent="0.3">
      <c r="A42" s="82">
        <v>22.2222222222222</v>
      </c>
      <c r="B42" s="84">
        <v>800</v>
      </c>
      <c r="C42" s="66"/>
      <c r="D42" s="58"/>
      <c r="E42" s="81"/>
      <c r="F42" s="15"/>
    </row>
    <row r="43" spans="1:8" ht="15.6" x14ac:dyDescent="0.3">
      <c r="A43" s="82">
        <v>25.925925925925899</v>
      </c>
      <c r="B43" s="84">
        <v>1000</v>
      </c>
      <c r="C43" s="68"/>
      <c r="D43" s="58"/>
      <c r="E43" s="81"/>
      <c r="F43" s="15"/>
    </row>
    <row r="44" spans="1:8" ht="15.6" x14ac:dyDescent="0.3">
      <c r="A44" s="82">
        <v>29.629629629629601</v>
      </c>
      <c r="B44" s="84">
        <v>3602</v>
      </c>
      <c r="C44" s="66"/>
      <c r="D44" s="58"/>
      <c r="E44" s="81"/>
      <c r="F44" s="15"/>
    </row>
    <row r="45" spans="1:8" ht="15.6" x14ac:dyDescent="0.3">
      <c r="A45" s="82">
        <v>33.3333333333333</v>
      </c>
      <c r="B45" s="84">
        <v>5010</v>
      </c>
      <c r="C45" s="66"/>
      <c r="D45" s="58"/>
      <c r="E45" s="81"/>
      <c r="F45" s="15"/>
    </row>
    <row r="46" spans="1:8" ht="15.6" x14ac:dyDescent="0.3">
      <c r="A46" s="82">
        <v>37.037037037037003</v>
      </c>
      <c r="B46" s="84">
        <v>5970</v>
      </c>
      <c r="C46" s="66"/>
      <c r="D46" s="58"/>
      <c r="E46" s="81"/>
      <c r="F46" s="15"/>
    </row>
    <row r="47" spans="1:8" ht="15.6" x14ac:dyDescent="0.3">
      <c r="A47" s="82">
        <v>40.740740740740698</v>
      </c>
      <c r="B47" s="84">
        <v>6000</v>
      </c>
      <c r="C47" s="66"/>
      <c r="D47" s="58"/>
      <c r="E47" s="81"/>
      <c r="F47" s="15"/>
    </row>
    <row r="48" spans="1:8" ht="15.6" x14ac:dyDescent="0.3">
      <c r="A48" s="82">
        <v>44.4444444444444</v>
      </c>
      <c r="B48" s="84">
        <v>7629</v>
      </c>
      <c r="C48" s="66"/>
      <c r="D48" s="58"/>
      <c r="E48" s="81"/>
      <c r="F48" s="15"/>
    </row>
    <row r="49" spans="1:6" ht="15.6" x14ac:dyDescent="0.3">
      <c r="A49" s="82">
        <v>48.148148148148103</v>
      </c>
      <c r="B49" s="84">
        <v>7740</v>
      </c>
      <c r="C49" s="66"/>
      <c r="D49" s="58"/>
      <c r="E49" s="81"/>
      <c r="F49" s="15"/>
    </row>
    <row r="50" spans="1:6" ht="15.6" x14ac:dyDescent="0.3">
      <c r="A50" s="82">
        <v>51.851851851851798</v>
      </c>
      <c r="B50" s="84">
        <v>8240</v>
      </c>
      <c r="C50" s="68"/>
      <c r="D50" s="58"/>
      <c r="E50" s="81"/>
      <c r="F50" s="15"/>
    </row>
    <row r="51" spans="1:6" ht="15.6" x14ac:dyDescent="0.3">
      <c r="A51" s="82">
        <v>55.5555555555556</v>
      </c>
      <c r="B51" s="84">
        <v>9000</v>
      </c>
      <c r="C51" s="66"/>
      <c r="D51" s="58"/>
      <c r="E51" s="81"/>
      <c r="F51" s="15"/>
    </row>
    <row r="52" spans="1:6" ht="15.6" x14ac:dyDescent="0.3">
      <c r="A52" s="82">
        <v>59.259259259259302</v>
      </c>
      <c r="B52" s="84">
        <v>11529</v>
      </c>
      <c r="C52" s="66"/>
      <c r="D52" s="58"/>
      <c r="E52" s="81"/>
      <c r="F52" s="15"/>
    </row>
    <row r="53" spans="1:6" ht="15.6" x14ac:dyDescent="0.3">
      <c r="A53" s="82">
        <v>62.962962962962997</v>
      </c>
      <c r="B53" s="84">
        <v>12000</v>
      </c>
      <c r="C53" s="66"/>
      <c r="D53" s="58"/>
      <c r="E53" s="81"/>
      <c r="F53" s="15"/>
    </row>
    <row r="54" spans="1:6" ht="15.6" x14ac:dyDescent="0.3">
      <c r="A54" s="82">
        <v>66.6666666666667</v>
      </c>
      <c r="B54" s="84">
        <v>12503</v>
      </c>
      <c r="C54" s="66"/>
      <c r="D54" s="58"/>
      <c r="E54" s="81"/>
      <c r="F54" s="15"/>
    </row>
    <row r="55" spans="1:6" ht="15.6" x14ac:dyDescent="0.3">
      <c r="A55" s="82">
        <v>70.370370370370395</v>
      </c>
      <c r="B55" s="84">
        <v>14000</v>
      </c>
      <c r="C55" s="66"/>
      <c r="D55" s="58"/>
      <c r="E55" s="81"/>
      <c r="F55" s="15"/>
    </row>
    <row r="56" spans="1:6" ht="15.6" x14ac:dyDescent="0.3">
      <c r="A56" s="82">
        <v>74.074074074074105</v>
      </c>
      <c r="B56" s="84">
        <v>26400</v>
      </c>
      <c r="C56" s="66"/>
      <c r="D56" s="58"/>
      <c r="E56" s="81"/>
      <c r="F56" s="15"/>
    </row>
    <row r="57" spans="1:6" ht="15.6" x14ac:dyDescent="0.3">
      <c r="A57" s="82">
        <v>77.7777777777778</v>
      </c>
      <c r="B57" s="84">
        <v>30000</v>
      </c>
      <c r="C57" s="68"/>
      <c r="D57" s="58"/>
      <c r="E57" s="81"/>
      <c r="F57" s="15"/>
    </row>
    <row r="58" spans="1:6" ht="15.6" x14ac:dyDescent="0.3">
      <c r="A58" s="82">
        <v>81.481481481481495</v>
      </c>
      <c r="B58" s="84">
        <v>35600</v>
      </c>
      <c r="C58" s="66"/>
      <c r="D58" s="58"/>
      <c r="E58" s="81"/>
      <c r="F58" s="15"/>
    </row>
    <row r="59" spans="1:6" ht="15.6" x14ac:dyDescent="0.3">
      <c r="A59" s="82">
        <v>85.185185185185205</v>
      </c>
      <c r="B59" s="84">
        <v>36200</v>
      </c>
      <c r="C59" s="66"/>
      <c r="D59" s="58"/>
      <c r="E59" s="81"/>
      <c r="F59" s="15"/>
    </row>
    <row r="60" spans="1:6" ht="15.6" x14ac:dyDescent="0.3">
      <c r="A60" s="82">
        <v>88.8888888888889</v>
      </c>
      <c r="B60" s="84">
        <v>82090</v>
      </c>
      <c r="C60" s="66"/>
      <c r="D60" s="58"/>
      <c r="E60" s="81"/>
      <c r="F60" s="15"/>
    </row>
    <row r="61" spans="1:6" ht="15.6" x14ac:dyDescent="0.3">
      <c r="A61" s="82">
        <v>92.592592592592595</v>
      </c>
      <c r="B61" s="84">
        <v>146457</v>
      </c>
      <c r="C61" s="66"/>
      <c r="D61" s="58"/>
      <c r="E61" s="81"/>
      <c r="F61" s="15"/>
    </row>
    <row r="62" spans="1:6" ht="15.6" x14ac:dyDescent="0.3">
      <c r="A62" s="82">
        <v>96.296296296296305</v>
      </c>
      <c r="B62" s="84">
        <v>198465</v>
      </c>
      <c r="C62" s="66"/>
      <c r="D62" s="58"/>
      <c r="E62" s="15"/>
      <c r="F62" s="15"/>
    </row>
    <row r="63" spans="1:6" ht="15.6" x14ac:dyDescent="0.3">
      <c r="A63" s="82">
        <v>100</v>
      </c>
      <c r="B63" s="84">
        <v>220314</v>
      </c>
      <c r="C63" s="66"/>
      <c r="D63" s="58"/>
    </row>
    <row r="64" spans="1:6" ht="15.6" x14ac:dyDescent="0.3">
      <c r="A64" s="82"/>
      <c r="B64" s="84"/>
      <c r="C64" s="66"/>
      <c r="D64" s="58"/>
    </row>
    <row r="65" spans="1:3" ht="15.6" x14ac:dyDescent="0.3">
      <c r="A65" s="40" t="s">
        <v>58</v>
      </c>
      <c r="B65" s="85"/>
    </row>
    <row r="66" spans="1:3" ht="15.6" x14ac:dyDescent="0.3">
      <c r="A66" s="15"/>
      <c r="B66" s="85"/>
      <c r="C66" s="63"/>
    </row>
    <row r="67" spans="1:3" ht="15.6" x14ac:dyDescent="0.3">
      <c r="A67" s="67" t="s">
        <v>78</v>
      </c>
      <c r="B67" s="86" t="s">
        <v>27</v>
      </c>
    </row>
    <row r="68" spans="1:3" ht="15.6" x14ac:dyDescent="0.3">
      <c r="A68" s="83">
        <v>25</v>
      </c>
      <c r="B68" s="84">
        <f>800+((1000-800)/4)*3</f>
        <v>950</v>
      </c>
    </row>
    <row r="69" spans="1:3" ht="15.6" x14ac:dyDescent="0.3">
      <c r="A69" s="83">
        <v>50</v>
      </c>
      <c r="B69" s="84">
        <f>7740+((8240-7740)/4)*2</f>
        <v>7990</v>
      </c>
    </row>
    <row r="70" spans="1:3" ht="15.6" x14ac:dyDescent="0.3">
      <c r="A70" s="83">
        <v>75</v>
      </c>
      <c r="B70" s="84">
        <f>26400+((30000-26400)/4)*1</f>
        <v>27300</v>
      </c>
    </row>
    <row r="71" spans="1:3" x14ac:dyDescent="0.3">
      <c r="B71" s="87"/>
    </row>
    <row r="72" spans="1:3" ht="15.6" x14ac:dyDescent="0.3">
      <c r="A72" s="42" t="s">
        <v>85</v>
      </c>
      <c r="B72" s="107"/>
    </row>
    <row r="73" spans="1:3" ht="28.8" x14ac:dyDescent="0.3">
      <c r="A73" s="42"/>
      <c r="B73" s="108" t="s">
        <v>86</v>
      </c>
    </row>
    <row r="74" spans="1:3" ht="15.6" x14ac:dyDescent="0.3">
      <c r="A74" s="42" t="s">
        <v>87</v>
      </c>
      <c r="B74" s="109">
        <f>800+((1000-800)/4)*3</f>
        <v>950</v>
      </c>
    </row>
    <row r="75" spans="1:3" ht="15.6" x14ac:dyDescent="0.3">
      <c r="A75" s="42" t="s">
        <v>88</v>
      </c>
      <c r="B75" s="109">
        <f>7740+((8240-7740)/4)*2</f>
        <v>7990</v>
      </c>
    </row>
    <row r="76" spans="1:3" ht="15.6" x14ac:dyDescent="0.3">
      <c r="A76" s="42" t="s">
        <v>6</v>
      </c>
      <c r="B76" s="109">
        <f>26400+((30000-26400)/4)*1</f>
        <v>27300</v>
      </c>
    </row>
  </sheetData>
  <mergeCells count="1">
    <mergeCell ref="A2:K2"/>
  </mergeCells>
  <phoneticPr fontId="1" type="noConversion"/>
  <pageMargins left="0.75" right="0.75" top="1" bottom="1" header="0.5" footer="0.5"/>
  <pageSetup scale="70" fitToHeight="2" orientation="landscape" r:id="rId1"/>
  <colBreaks count="1" manualBreakCount="1">
    <brk id="14" max="1048575" man="1"/>
  </colBreaks>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Summary Table</vt:lpstr>
      <vt:lpstr>Assumptions</vt:lpstr>
      <vt:lpstr>Total PCB mass-Low estimate</vt:lpstr>
      <vt:lpstr>Total PCB mass-Medium estimate</vt:lpstr>
      <vt:lpstr>Total PCB mass-High estimate</vt:lpstr>
      <vt:lpstr>PCB detect freq</vt:lpstr>
      <vt:lpstr>PCB concentrations</vt:lpstr>
      <vt:lpstr>Assumptions!Print_Area</vt:lpstr>
      <vt:lpstr>'PCB concentrations'!Print_Area</vt:lpstr>
      <vt:lpstr>'PCB detect freq'!Print_Area</vt:lpstr>
      <vt:lpstr>'Total PCB mass-High estimate'!Print_Area</vt:lpstr>
      <vt:lpstr>'Total PCB mass-Low estimate'!Print_Area</vt:lpstr>
      <vt:lpstr>'Total PCB mass-Medium estimate'!Print_Area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Kass</dc:creator>
  <cp:lastModifiedBy>Ahonore</cp:lastModifiedBy>
  <cp:lastPrinted>2011-12-01T00:31:31Z</cp:lastPrinted>
  <dcterms:created xsi:type="dcterms:W3CDTF">2011-08-11T18:53:17Z</dcterms:created>
  <dcterms:modified xsi:type="dcterms:W3CDTF">2011-12-01T00:35:29Z</dcterms:modified>
</cp:coreProperties>
</file>